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480" yWindow="90" windowWidth="10455" windowHeight="4380" activeTab="3"/>
  </bookViews>
  <sheets>
    <sheet name="Presentacion" sheetId="3" r:id="rId1"/>
    <sheet name="Pronosticos" sheetId="1" r:id="rId2"/>
    <sheet name="Resultados" sheetId="2" r:id="rId3"/>
    <sheet name="Grafico" sheetId="5" r:id="rId4"/>
  </sheets>
  <calcPr calcId="152511"/>
  <pivotCaches>
    <pivotCache cacheId="0" r:id="rId5"/>
  </pivotCaches>
</workbook>
</file>

<file path=xl/calcChain.xml><?xml version="1.0" encoding="utf-8"?>
<calcChain xmlns="http://schemas.openxmlformats.org/spreadsheetml/2006/main">
  <c r="J3" i="1" l="1"/>
  <c r="A3" i="5"/>
  <c r="B3" i="5"/>
  <c r="C3" i="5"/>
  <c r="A4" i="5"/>
  <c r="B4" i="5"/>
  <c r="C4" i="5"/>
  <c r="A5" i="5"/>
  <c r="A6" i="5"/>
  <c r="B6" i="5"/>
  <c r="C6" i="5"/>
  <c r="A7" i="5"/>
  <c r="B7" i="5"/>
  <c r="C7" i="5"/>
  <c r="C2" i="5"/>
  <c r="A2" i="5"/>
  <c r="A1" i="5"/>
  <c r="D21" i="2"/>
  <c r="D18" i="2"/>
  <c r="D19" i="2"/>
  <c r="D20" i="2"/>
  <c r="D22" i="2"/>
  <c r="D17" i="2"/>
  <c r="G21" i="2"/>
  <c r="G18" i="2"/>
  <c r="G17" i="2"/>
  <c r="G20" i="2"/>
  <c r="G19" i="2"/>
  <c r="G22" i="2"/>
  <c r="F20" i="2" l="1"/>
  <c r="Q57" i="1"/>
  <c r="N27" i="1"/>
  <c r="N50" i="1" s="1"/>
  <c r="D8" i="1"/>
  <c r="D9" i="1" s="1"/>
  <c r="D30" i="1" s="1"/>
  <c r="D52" i="1" s="1"/>
  <c r="Q19" i="1"/>
  <c r="Q36" i="1"/>
  <c r="O38" i="1"/>
  <c r="O57" i="1" s="1"/>
  <c r="P38" i="1"/>
  <c r="P57" i="1" s="1"/>
  <c r="P39" i="1"/>
  <c r="N38" i="1"/>
  <c r="N57" i="1" s="1"/>
  <c r="N39" i="1"/>
  <c r="N37" i="1"/>
  <c r="N35" i="1"/>
  <c r="O35" i="1"/>
  <c r="P35" i="1"/>
  <c r="O34" i="1"/>
  <c r="O53" i="1" s="1"/>
  <c r="P34" i="1"/>
  <c r="P53" i="1" s="1"/>
  <c r="N34" i="1"/>
  <c r="N53" i="1" s="1"/>
  <c r="N33" i="1"/>
  <c r="D27" i="1"/>
  <c r="O3" i="1"/>
  <c r="O27" i="1" s="1"/>
  <c r="E27" i="1"/>
  <c r="F27" i="1"/>
  <c r="O2" i="1"/>
  <c r="O6" i="1" s="1"/>
  <c r="P2" i="1"/>
  <c r="P6" i="1" s="1"/>
  <c r="N2" i="1"/>
  <c r="N6" i="1" s="1"/>
  <c r="F7" i="1"/>
  <c r="F4" i="1" s="1"/>
  <c r="F25" i="1" s="1"/>
  <c r="F47" i="1" s="1"/>
  <c r="E7" i="1"/>
  <c r="E4" i="1" s="1"/>
  <c r="E25" i="1" s="1"/>
  <c r="E47" i="1" s="1"/>
  <c r="D7" i="1"/>
  <c r="D4" i="1" s="1"/>
  <c r="F8" i="1"/>
  <c r="F9" i="1" s="1"/>
  <c r="F30" i="1" s="1"/>
  <c r="F52" i="1" s="1"/>
  <c r="E8" i="1"/>
  <c r="E9" i="1" s="1"/>
  <c r="E30" i="1" s="1"/>
  <c r="E52" i="1" s="1"/>
  <c r="F21" i="2" l="1"/>
  <c r="F17" i="2"/>
  <c r="O50" i="1"/>
  <c r="D18" i="1"/>
  <c r="D5" i="1"/>
  <c r="E18" i="1"/>
  <c r="Q37" i="1"/>
  <c r="E24" i="1"/>
  <c r="D24" i="1"/>
  <c r="F24" i="1"/>
  <c r="N26" i="1"/>
  <c r="D28" i="1"/>
  <c r="D50" i="1" s="1"/>
  <c r="P26" i="1"/>
  <c r="D25" i="1"/>
  <c r="F28" i="1"/>
  <c r="F50" i="1" s="1"/>
  <c r="E28" i="1"/>
  <c r="E50" i="1" s="1"/>
  <c r="D29" i="1"/>
  <c r="D51" i="1" s="1"/>
  <c r="E29" i="1"/>
  <c r="E51" i="1" s="1"/>
  <c r="F29" i="1"/>
  <c r="F51" i="1" s="1"/>
  <c r="O26" i="1"/>
  <c r="O10" i="1"/>
  <c r="O30" i="1" s="1"/>
  <c r="P10" i="1"/>
  <c r="P30" i="1" s="1"/>
  <c r="N10" i="1"/>
  <c r="N30" i="1" s="1"/>
  <c r="E5" i="1"/>
  <c r="P3" i="1"/>
  <c r="P27" i="1" s="1"/>
  <c r="P45" i="1" l="1"/>
  <c r="P49" i="1"/>
  <c r="N45" i="1"/>
  <c r="N49" i="1"/>
  <c r="O45" i="1"/>
  <c r="O49" i="1"/>
  <c r="F39" i="1"/>
  <c r="D10" i="1"/>
  <c r="P50" i="1"/>
  <c r="E39" i="1"/>
  <c r="E26" i="1"/>
  <c r="E48" i="1" s="1"/>
  <c r="E10" i="1"/>
  <c r="O11" i="1" s="1"/>
  <c r="D39" i="1"/>
  <c r="F18" i="1"/>
  <c r="F46" i="1"/>
  <c r="D47" i="1"/>
  <c r="E46" i="1"/>
  <c r="D14" i="1"/>
  <c r="D15" i="1" s="1"/>
  <c r="D16" i="1" s="1"/>
  <c r="D46" i="1"/>
  <c r="D26" i="1"/>
  <c r="E14" i="1"/>
  <c r="E15" i="1" s="1"/>
  <c r="E16" i="1" s="1"/>
  <c r="F5" i="1"/>
  <c r="E35" i="1" l="1"/>
  <c r="E36" i="1" s="1"/>
  <c r="E37" i="1" s="1"/>
  <c r="E49" i="1"/>
  <c r="F49" i="1"/>
  <c r="D49" i="1"/>
  <c r="F26" i="1"/>
  <c r="F31" i="1" s="1"/>
  <c r="P31" i="1" s="1"/>
  <c r="E31" i="1"/>
  <c r="O31" i="1" s="1"/>
  <c r="E32" i="1" s="1"/>
  <c r="E33" i="1" s="1"/>
  <c r="N11" i="1"/>
  <c r="D11" i="1" s="1"/>
  <c r="D12" i="1" s="1"/>
  <c r="D35" i="1"/>
  <c r="D36" i="1" s="1"/>
  <c r="E53" i="1"/>
  <c r="O46" i="1" s="1"/>
  <c r="E61" i="1" s="1"/>
  <c r="E57" i="1"/>
  <c r="E58" i="1" s="1"/>
  <c r="E11" i="1"/>
  <c r="E12" i="1" s="1"/>
  <c r="D31" i="1"/>
  <c r="D48" i="1"/>
  <c r="F14" i="1"/>
  <c r="F15" i="1" s="1"/>
  <c r="F16" i="1" s="1"/>
  <c r="F10" i="1"/>
  <c r="P11" i="1" s="1"/>
  <c r="E59" i="1" l="1"/>
  <c r="D53" i="1"/>
  <c r="N46" i="1" s="1"/>
  <c r="D13" i="1"/>
  <c r="D17" i="1" s="1"/>
  <c r="F35" i="1"/>
  <c r="F36" i="1" s="1"/>
  <c r="F37" i="1" s="1"/>
  <c r="F48" i="1"/>
  <c r="F53" i="1" s="1"/>
  <c r="P46" i="1" s="1"/>
  <c r="F61" i="1" s="1"/>
  <c r="D37" i="1"/>
  <c r="N31" i="1"/>
  <c r="D32" i="1" s="1"/>
  <c r="D33" i="1" s="1"/>
  <c r="E54" i="1"/>
  <c r="E55" i="1" s="1"/>
  <c r="D57" i="1"/>
  <c r="D58" i="1" s="1"/>
  <c r="D59" i="1" s="1"/>
  <c r="F57" i="1"/>
  <c r="F11" i="1"/>
  <c r="F12" i="1" s="1"/>
  <c r="F32" i="1"/>
  <c r="F33" i="1" s="1"/>
  <c r="E34" i="1"/>
  <c r="E38" i="1" s="1"/>
  <c r="E13" i="1"/>
  <c r="E17" i="1" s="1"/>
  <c r="D34" i="1" l="1"/>
  <c r="D38" i="1" s="1"/>
  <c r="F58" i="1"/>
  <c r="F59" i="1" s="1"/>
  <c r="D61" i="1"/>
  <c r="E56" i="1"/>
  <c r="E60" i="1" s="1"/>
  <c r="D54" i="1"/>
  <c r="F54" i="1"/>
  <c r="F55" i="1" s="1"/>
  <c r="F13" i="1"/>
  <c r="F17" i="1" s="1"/>
  <c r="C17" i="1" s="1"/>
  <c r="F34" i="1"/>
  <c r="F38" i="1" s="1"/>
  <c r="J6" i="1" l="1"/>
  <c r="J4" i="1"/>
  <c r="J7" i="1" s="1"/>
  <c r="C38" i="1"/>
  <c r="D55" i="1"/>
  <c r="D56" i="1" s="1"/>
  <c r="D60" i="1" s="1"/>
  <c r="F56" i="1"/>
  <c r="F60" i="1" s="1"/>
  <c r="I6" i="1" l="1"/>
  <c r="B5" i="5" s="1"/>
  <c r="C5" i="5"/>
  <c r="J5" i="1"/>
  <c r="J8" i="1" s="1"/>
  <c r="C60" i="1"/>
  <c r="I4" i="1"/>
  <c r="I3" i="1"/>
  <c r="B2" i="5" s="1"/>
  <c r="I7" i="1" l="1"/>
  <c r="I5" i="1"/>
  <c r="I8" i="1" l="1"/>
  <c r="D12" i="2"/>
  <c r="G12" i="2" s="1"/>
  <c r="F18" i="2"/>
  <c r="F22" i="2"/>
  <c r="E12" i="2"/>
  <c r="B12" i="2" l="1"/>
  <c r="F12" i="2" s="1"/>
  <c r="F19" i="2"/>
</calcChain>
</file>

<file path=xl/sharedStrings.xml><?xml version="1.0" encoding="utf-8"?>
<sst xmlns="http://schemas.openxmlformats.org/spreadsheetml/2006/main" count="130" uniqueCount="74">
  <si>
    <t>PRODUCTOS</t>
  </si>
  <si>
    <t>Remesas</t>
  </si>
  <si>
    <t>Precio de adquisicion</t>
  </si>
  <si>
    <t>Precio de Venta unitario</t>
  </si>
  <si>
    <t>Importe de la Venta de Articulos Defectuosos</t>
  </si>
  <si>
    <t>Número de Productos Adquiridos</t>
  </si>
  <si>
    <t>Número de Productos Vendidos</t>
  </si>
  <si>
    <t>Número de Productos por Remesas</t>
  </si>
  <si>
    <t>Número de Productos Defectuosos por Remesa</t>
  </si>
  <si>
    <t>Precio de Venta de Articulos defectuosos</t>
  </si>
  <si>
    <t>Precio de Venta de Articulos No Defectuosos</t>
  </si>
  <si>
    <t>Número de Productos Defectuosos Devueltos</t>
  </si>
  <si>
    <t>Ventas Netas</t>
  </si>
  <si>
    <t>Gastos de Adquisición</t>
  </si>
  <si>
    <t>Inventario Inicial</t>
  </si>
  <si>
    <t>Precio de Adquisición unitario</t>
  </si>
  <si>
    <t>Mochila</t>
  </si>
  <si>
    <t>Calculadora</t>
  </si>
  <si>
    <t>Carpeta</t>
  </si>
  <si>
    <t>Costo de Ventas</t>
  </si>
  <si>
    <t>Gastos de Venta</t>
  </si>
  <si>
    <t>Sueldos</t>
  </si>
  <si>
    <t>Luz</t>
  </si>
  <si>
    <t>Telefono</t>
  </si>
  <si>
    <t>Gastos de Admon.</t>
  </si>
  <si>
    <t>Gastos de Operación</t>
  </si>
  <si>
    <t>Inventario Final</t>
  </si>
  <si>
    <t>Empresa "La Escuelita"</t>
  </si>
  <si>
    <t>Estado de Resultados Integral del 01 al 31 de Diciembre del 2008</t>
  </si>
  <si>
    <t xml:space="preserve"> </t>
  </si>
  <si>
    <t>Compras Netas</t>
  </si>
  <si>
    <t>compras netas</t>
  </si>
  <si>
    <t>costo de ventas</t>
  </si>
  <si>
    <t>Año</t>
  </si>
  <si>
    <t>Precio de adquisicion unitario</t>
  </si>
  <si>
    <t>Otros Productos</t>
  </si>
  <si>
    <t>Venta de Mobiliario</t>
  </si>
  <si>
    <t>Utilidad Neta del Ejercicio 2010</t>
  </si>
  <si>
    <t>Cantidad</t>
  </si>
  <si>
    <t>Tipo</t>
  </si>
  <si>
    <t xml:space="preserve">Cantidad en Número </t>
  </si>
  <si>
    <t>Estado</t>
  </si>
  <si>
    <t>Tipo de Empresa</t>
  </si>
  <si>
    <t>Nombre</t>
  </si>
  <si>
    <t>Apellido</t>
  </si>
  <si>
    <t>Turno</t>
  </si>
  <si>
    <t>Sueldo</t>
  </si>
  <si>
    <t>Departamento</t>
  </si>
  <si>
    <t>Situación</t>
  </si>
  <si>
    <t>Eduardo</t>
  </si>
  <si>
    <t>Reyes</t>
  </si>
  <si>
    <t>Ventas</t>
  </si>
  <si>
    <t>Administración</t>
  </si>
  <si>
    <t xml:space="preserve">Omar </t>
  </si>
  <si>
    <t>Jimenez</t>
  </si>
  <si>
    <t>Linda</t>
  </si>
  <si>
    <t>Corzo</t>
  </si>
  <si>
    <t>Diana</t>
  </si>
  <si>
    <t>Colin</t>
  </si>
  <si>
    <t>Alexis</t>
  </si>
  <si>
    <t>Salgado</t>
  </si>
  <si>
    <t>Angel</t>
  </si>
  <si>
    <t>Guzman</t>
  </si>
  <si>
    <t>M</t>
  </si>
  <si>
    <t>T</t>
  </si>
  <si>
    <t>Sueldo en Letras</t>
  </si>
  <si>
    <t>Pronostico  de Diciembre del 2009</t>
  </si>
  <si>
    <t>Pronostico  de Diciembre del 2010</t>
  </si>
  <si>
    <t>Utilidad Bruta del Ejercicio 2008</t>
  </si>
  <si>
    <t>Utilidad Bruta del Ejercicio 2009</t>
  </si>
  <si>
    <t>Utilidad Bruta del Ejercicio 2010</t>
  </si>
  <si>
    <t>Utilidad Neta del Ejercicio 2008</t>
  </si>
  <si>
    <t>Utilidad Neta del Ejercicio 2009</t>
  </si>
  <si>
    <t>Suma de Cantidad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</si>
</sst>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0" x14ac:knownFonts="1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theme="7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4" fillId="4" borderId="0" applyNumberFormat="0" applyBorder="0" applyAlignment="0" applyProtection="0"/>
    <xf numFmtId="0" fontId="8" fillId="0" borderId="5" applyNumberFormat="0" applyFill="0" applyAlignment="0" applyProtection="0"/>
    <xf numFmtId="0" fontId="9" fillId="5" borderId="6" applyNumberFormat="0" applyAlignment="0" applyProtection="0"/>
    <xf numFmtId="0" fontId="7" fillId="6" borderId="7" applyNumberFormat="0" applyFont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7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164" fontId="0" fillId="0" borderId="0" xfId="0" applyNumberFormat="1" applyBorder="1" applyAlignment="1">
      <alignment horizontal="center"/>
    </xf>
    <xf numFmtId="0" fontId="3" fillId="0" borderId="0" xfId="0" applyFont="1" applyAlignment="1"/>
    <xf numFmtId="0" fontId="5" fillId="0" borderId="0" xfId="0" applyFont="1" applyAlignment="1"/>
    <xf numFmtId="49" fontId="3" fillId="0" borderId="3" xfId="0" applyNumberFormat="1" applyFont="1" applyBorder="1" applyAlignment="1">
      <alignment horizontal="center" vertical="center"/>
    </xf>
    <xf numFmtId="0" fontId="0" fillId="0" borderId="0" xfId="0" applyNumberFormat="1"/>
    <xf numFmtId="0" fontId="2" fillId="3" borderId="1" xfId="2" applyAlignment="1">
      <alignment horizontal="center"/>
    </xf>
    <xf numFmtId="0" fontId="9" fillId="5" borderId="6" xfId="5" applyAlignment="1">
      <alignment horizontal="center"/>
    </xf>
    <xf numFmtId="0" fontId="0" fillId="6" borderId="7" xfId="6" applyFont="1" applyAlignment="1">
      <alignment horizontal="center"/>
    </xf>
    <xf numFmtId="0" fontId="8" fillId="0" borderId="5" xfId="4" applyAlignment="1">
      <alignment horizontal="center"/>
    </xf>
    <xf numFmtId="164" fontId="9" fillId="5" borderId="6" xfId="5" applyNumberFormat="1" applyAlignment="1">
      <alignment horizontal="center"/>
    </xf>
    <xf numFmtId="0" fontId="6" fillId="6" borderId="7" xfId="6" applyFont="1" applyAlignment="1">
      <alignment horizontal="center"/>
    </xf>
    <xf numFmtId="0" fontId="4" fillId="8" borderId="3" xfId="8" applyBorder="1" applyAlignment="1">
      <alignment horizontal="center"/>
    </xf>
    <xf numFmtId="0" fontId="4" fillId="8" borderId="3" xfId="8" applyBorder="1"/>
    <xf numFmtId="164" fontId="2" fillId="3" borderId="1" xfId="2" applyNumberFormat="1" applyAlignment="1">
      <alignment horizontal="center"/>
    </xf>
    <xf numFmtId="164" fontId="2" fillId="3" borderId="1" xfId="2" applyNumberFormat="1"/>
    <xf numFmtId="0" fontId="4" fillId="10" borderId="0" xfId="10" applyAlignment="1">
      <alignment horizontal="center"/>
    </xf>
    <xf numFmtId="0" fontId="4" fillId="11" borderId="0" xfId="11" applyAlignment="1">
      <alignment horizontal="center"/>
    </xf>
    <xf numFmtId="164" fontId="0" fillId="0" borderId="4" xfId="0" applyNumberFormat="1" applyBorder="1" applyAlignment="1">
      <alignment horizontal="center"/>
    </xf>
    <xf numFmtId="164" fontId="1" fillId="2" borderId="3" xfId="1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4" fillId="4" borderId="3" xfId="3" applyBorder="1" applyAlignment="1">
      <alignment horizontal="center"/>
    </xf>
    <xf numFmtId="0" fontId="7" fillId="9" borderId="3" xfId="9" applyBorder="1" applyAlignment="1">
      <alignment horizontal="center"/>
    </xf>
    <xf numFmtId="164" fontId="7" fillId="9" borderId="3" xfId="9" applyNumberFormat="1" applyBorder="1" applyAlignment="1">
      <alignment horizontal="center"/>
    </xf>
    <xf numFmtId="164" fontId="4" fillId="4" borderId="3" xfId="3" applyNumberFormat="1" applyBorder="1" applyAlignment="1">
      <alignment horizontal="center"/>
    </xf>
    <xf numFmtId="0" fontId="3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3" fillId="12" borderId="3" xfId="0" applyFont="1" applyFill="1" applyBorder="1" applyAlignment="1">
      <alignment horizontal="center"/>
    </xf>
    <xf numFmtId="0" fontId="0" fillId="12" borderId="3" xfId="0" applyFill="1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4" borderId="3" xfId="0" applyFill="1" applyBorder="1" applyAlignment="1">
      <alignment horizontal="center"/>
    </xf>
    <xf numFmtId="164" fontId="0" fillId="15" borderId="3" xfId="0" applyNumberFormat="1" applyFill="1" applyBorder="1" applyAlignment="1">
      <alignment horizontal="center"/>
    </xf>
    <xf numFmtId="0" fontId="4" fillId="7" borderId="0" xfId="7" applyAlignment="1">
      <alignment horizontal="center"/>
    </xf>
    <xf numFmtId="0" fontId="2" fillId="3" borderId="1" xfId="2" applyAlignment="1">
      <alignment horizontal="center"/>
    </xf>
    <xf numFmtId="0" fontId="4" fillId="4" borderId="2" xfId="3" applyBorder="1" applyAlignment="1">
      <alignment horizontal="center"/>
    </xf>
    <xf numFmtId="0" fontId="4" fillId="4" borderId="0" xfId="3" applyAlignment="1">
      <alignment horizontal="center"/>
    </xf>
  </cellXfs>
  <cellStyles count="12">
    <cellStyle name="40% - Énfasis4" xfId="9" builtinId="43"/>
    <cellStyle name="60% - Énfasis4" xfId="10" builtinId="44"/>
    <cellStyle name="60% - Énfasis5" xfId="11" builtinId="48"/>
    <cellStyle name="Cálculo" xfId="2" builtinId="22"/>
    <cellStyle name="Celda de comprobación" xfId="5" builtinId="23"/>
    <cellStyle name="Celda vinculada" xfId="4" builtinId="24"/>
    <cellStyle name="Énfasis1" xfId="7" builtinId="29"/>
    <cellStyle name="Énfasis2" xfId="8" builtinId="33"/>
    <cellStyle name="Énfasis4" xfId="3" builtinId="41"/>
    <cellStyle name="Neutral" xfId="1" builtinId="28"/>
    <cellStyle name="Normal" xfId="0" builtinId="0"/>
    <cellStyle name="Notas" xfId="6" builtinId="10"/>
  </cellStyles>
  <dxfs count="35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&quot;$&quot;#,##0.00"/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[Si, y, o. Omar y Alexis .xlsx]Grafico!Tabla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Cantidades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50"/>
      <c:rotY val="7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Grafico!$C$9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Grafico!$B$10:$B$15</c:f>
              <c:strCache>
                <c:ptCount val="6"/>
                <c:pt idx="0">
                  <c:v>Utilidad Bruta del Ejercicio 2008</c:v>
                </c:pt>
                <c:pt idx="1">
                  <c:v>Utilidad Bruta del Ejercicio 2009</c:v>
                </c:pt>
                <c:pt idx="2">
                  <c:v>Utilidad Bruta del Ejercicio 2010</c:v>
                </c:pt>
                <c:pt idx="3">
                  <c:v>Utilidad Neta del Ejercicio 2008</c:v>
                </c:pt>
                <c:pt idx="4">
                  <c:v>Utilidad Neta del Ejercicio 2009</c:v>
                </c:pt>
                <c:pt idx="5">
                  <c:v>Utilidad Neta del Ejercicio 2010</c:v>
                </c:pt>
              </c:strCache>
            </c:strRef>
          </c:cat>
          <c:val>
            <c:numRef>
              <c:f>Grafico!$C$10:$C$15</c:f>
              <c:numCache>
                <c:formatCode>"$"#,##0.00</c:formatCode>
                <c:ptCount val="6"/>
                <c:pt idx="0">
                  <c:v>40985.721371428568</c:v>
                </c:pt>
                <c:pt idx="1">
                  <c:v>52545.86</c:v>
                </c:pt>
                <c:pt idx="2">
                  <c:v>41764.389900000009</c:v>
                </c:pt>
                <c:pt idx="3">
                  <c:v>34035.721371428568</c:v>
                </c:pt>
                <c:pt idx="4">
                  <c:v>45095.86</c:v>
                </c:pt>
                <c:pt idx="5">
                  <c:v>44464.389900000009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3320624"/>
        <c:axId val="293412248"/>
        <c:axId val="0"/>
      </c:bar3DChart>
      <c:catAx>
        <c:axId val="29332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93412248"/>
        <c:crosses val="autoZero"/>
        <c:auto val="1"/>
        <c:lblAlgn val="ctr"/>
        <c:lblOffset val="100"/>
        <c:noMultiLvlLbl val="0"/>
      </c:catAx>
      <c:valAx>
        <c:axId val="293412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93320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accent2">
            <a:lumMod val="5000"/>
            <a:lumOff val="95000"/>
          </a:schemeClr>
        </a:gs>
        <a:gs pos="74000">
          <a:schemeClr val="accent2">
            <a:lumMod val="45000"/>
            <a:lumOff val="55000"/>
          </a:schemeClr>
        </a:gs>
        <a:gs pos="83000">
          <a:schemeClr val="accent2">
            <a:lumMod val="45000"/>
            <a:lumOff val="55000"/>
          </a:schemeClr>
        </a:gs>
        <a:gs pos="100000">
          <a:schemeClr val="accent2">
            <a:lumMod val="30000"/>
            <a:lumOff val="70000"/>
          </a:schemeClr>
        </a:gs>
      </a:gsLst>
      <a:lin ang="5400000" scaled="1"/>
      <a:tileRect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Resultados!A1"/><Relationship Id="rId2" Type="http://schemas.openxmlformats.org/officeDocument/2006/relationships/hyperlink" Target="#Pronosticos!A1"/><Relationship Id="rId1" Type="http://schemas.openxmlformats.org/officeDocument/2006/relationships/image" Target="../media/image1.png"/><Relationship Id="rId4" Type="http://schemas.openxmlformats.org/officeDocument/2006/relationships/hyperlink" Target="#Grafico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hyperlink" Target="#Presentacio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0</xdr:row>
      <xdr:rowOff>0</xdr:rowOff>
    </xdr:from>
    <xdr:to>
      <xdr:col>16</xdr:col>
      <xdr:colOff>543659</xdr:colOff>
      <xdr:row>31</xdr:row>
      <xdr:rowOff>9525</xdr:rowOff>
    </xdr:to>
    <xdr:pic>
      <xdr:nvPicPr>
        <xdr:cNvPr id="307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62200" y="0"/>
          <a:ext cx="10373459" cy="59150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504825</xdr:colOff>
      <xdr:row>12</xdr:row>
      <xdr:rowOff>114300</xdr:rowOff>
    </xdr:from>
    <xdr:to>
      <xdr:col>10</xdr:col>
      <xdr:colOff>533399</xdr:colOff>
      <xdr:row>14</xdr:row>
      <xdr:rowOff>38100</xdr:rowOff>
    </xdr:to>
    <xdr:sp macro="" textlink="">
      <xdr:nvSpPr>
        <xdr:cNvPr id="4" name="3 CuadroTexto">
          <a:hlinkClick xmlns:r="http://schemas.openxmlformats.org/officeDocument/2006/relationships" r:id="rId2"/>
        </xdr:cNvPr>
        <xdr:cNvSpPr txBox="1"/>
      </xdr:nvSpPr>
      <xdr:spPr>
        <a:xfrm>
          <a:off x="5838825" y="2400300"/>
          <a:ext cx="2314574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s-MX" sz="2800">
              <a:ln>
                <a:noFill/>
              </a:ln>
              <a:latin typeface="Bradley Hand ITC" pitchFamily="66" charset="0"/>
            </a:rPr>
            <a:t> </a:t>
          </a:r>
          <a:r>
            <a:rPr lang="es-MX" sz="2800">
              <a:ln>
                <a:noFill/>
              </a:ln>
              <a:solidFill>
                <a:schemeClr val="tx2">
                  <a:lumMod val="60000"/>
                  <a:lumOff val="40000"/>
                </a:schemeClr>
              </a:solidFill>
              <a:latin typeface="Bradley Hand ITC" pitchFamily="66" charset="0"/>
            </a:rPr>
            <a:t>- Pronosticos</a:t>
          </a:r>
        </a:p>
      </xdr:txBody>
    </xdr:sp>
    <xdr:clientData/>
  </xdr:twoCellAnchor>
  <xdr:twoCellAnchor>
    <xdr:from>
      <xdr:col>7</xdr:col>
      <xdr:colOff>523875</xdr:colOff>
      <xdr:row>14</xdr:row>
      <xdr:rowOff>19050</xdr:rowOff>
    </xdr:from>
    <xdr:to>
      <xdr:col>10</xdr:col>
      <xdr:colOff>552449</xdr:colOff>
      <xdr:row>15</xdr:row>
      <xdr:rowOff>133350</xdr:rowOff>
    </xdr:to>
    <xdr:sp macro="" textlink="">
      <xdr:nvSpPr>
        <xdr:cNvPr id="7" name="6 CuadroTexto">
          <a:hlinkClick xmlns:r="http://schemas.openxmlformats.org/officeDocument/2006/relationships" r:id="rId3"/>
        </xdr:cNvPr>
        <xdr:cNvSpPr txBox="1"/>
      </xdr:nvSpPr>
      <xdr:spPr>
        <a:xfrm>
          <a:off x="5857875" y="2686050"/>
          <a:ext cx="2314574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s-MX" sz="2800">
              <a:ln>
                <a:noFill/>
              </a:ln>
              <a:latin typeface="Bradley Hand ITC" pitchFamily="66" charset="0"/>
            </a:rPr>
            <a:t> </a:t>
          </a:r>
          <a:r>
            <a:rPr lang="es-MX" sz="2800">
              <a:ln>
                <a:noFill/>
              </a:ln>
              <a:solidFill>
                <a:schemeClr val="tx2">
                  <a:lumMod val="60000"/>
                  <a:lumOff val="40000"/>
                </a:schemeClr>
              </a:solidFill>
              <a:latin typeface="Bradley Hand ITC" pitchFamily="66" charset="0"/>
            </a:rPr>
            <a:t>- Resultados</a:t>
          </a:r>
        </a:p>
      </xdr:txBody>
    </xdr:sp>
    <xdr:clientData/>
  </xdr:twoCellAnchor>
  <xdr:twoCellAnchor>
    <xdr:from>
      <xdr:col>7</xdr:col>
      <xdr:colOff>533400</xdr:colOff>
      <xdr:row>15</xdr:row>
      <xdr:rowOff>152400</xdr:rowOff>
    </xdr:from>
    <xdr:to>
      <xdr:col>10</xdr:col>
      <xdr:colOff>561974</xdr:colOff>
      <xdr:row>17</xdr:row>
      <xdr:rowOff>76200</xdr:rowOff>
    </xdr:to>
    <xdr:sp macro="" textlink="">
      <xdr:nvSpPr>
        <xdr:cNvPr id="8" name="7 CuadroTexto">
          <a:hlinkClick xmlns:r="http://schemas.openxmlformats.org/officeDocument/2006/relationships" r:id="rId4"/>
        </xdr:cNvPr>
        <xdr:cNvSpPr txBox="1"/>
      </xdr:nvSpPr>
      <xdr:spPr>
        <a:xfrm>
          <a:off x="5867400" y="3009900"/>
          <a:ext cx="2314574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s-MX" sz="2800">
              <a:ln>
                <a:noFill/>
              </a:ln>
              <a:solidFill>
                <a:schemeClr val="tx2">
                  <a:lumMod val="60000"/>
                  <a:lumOff val="40000"/>
                </a:schemeClr>
              </a:solidFill>
              <a:latin typeface="Bradley Hand ITC" pitchFamily="66" charset="0"/>
            </a:rPr>
            <a:t> - Grafico</a:t>
          </a:r>
        </a:p>
      </xdr:txBody>
    </xdr:sp>
    <xdr:clientData/>
  </xdr:twoCellAnchor>
  <xdr:oneCellAnchor>
    <xdr:from>
      <xdr:col>7</xdr:col>
      <xdr:colOff>209550</xdr:colOff>
      <xdr:row>18</xdr:row>
      <xdr:rowOff>38099</xdr:rowOff>
    </xdr:from>
    <xdr:ext cx="2962275" cy="814069"/>
    <xdr:sp macro="" textlink="">
      <xdr:nvSpPr>
        <xdr:cNvPr id="9" name="8 CuadroTexto"/>
        <xdr:cNvSpPr txBox="1"/>
      </xdr:nvSpPr>
      <xdr:spPr>
        <a:xfrm>
          <a:off x="5543550" y="3467099"/>
          <a:ext cx="2962275" cy="814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es-MX" sz="1600">
              <a:latin typeface="+mj-lt"/>
            </a:rPr>
            <a:t>Presentan:</a:t>
          </a:r>
        </a:p>
        <a:p>
          <a:pPr algn="ctr"/>
          <a:r>
            <a:rPr lang="es-MX" sz="1600">
              <a:latin typeface="+mj-lt"/>
            </a:rPr>
            <a:t>Alexis Amín</a:t>
          </a:r>
          <a:r>
            <a:rPr lang="es-MX" sz="1600" baseline="0">
              <a:latin typeface="+mj-lt"/>
            </a:rPr>
            <a:t> Salgado Molina</a:t>
          </a:r>
        </a:p>
        <a:p>
          <a:pPr algn="ctr"/>
          <a:r>
            <a:rPr lang="es-MX" sz="1600" baseline="0">
              <a:latin typeface="+mj-lt"/>
            </a:rPr>
            <a:t>Omar Jiménez Bamaca</a:t>
          </a:r>
          <a:endParaRPr lang="es-MX" sz="1600">
            <a:latin typeface="+mj-lt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133350</xdr:colOff>
      <xdr:row>9</xdr:row>
      <xdr:rowOff>9525</xdr:rowOff>
    </xdr:from>
    <xdr:to>
      <xdr:col>8</xdr:col>
      <xdr:colOff>1971675</xdr:colOff>
      <xdr:row>17</xdr:row>
      <xdr:rowOff>190500</xdr:rowOff>
    </xdr:to>
    <xdr:sp macro="" textlink="">
      <xdr:nvSpPr>
        <xdr:cNvPr id="2" name="1 Pergamino vertical"/>
        <xdr:cNvSpPr/>
      </xdr:nvSpPr>
      <xdr:spPr>
        <a:xfrm>
          <a:off x="10648950" y="1847850"/>
          <a:ext cx="1838325" cy="1857375"/>
        </a:xfrm>
        <a:prstGeom prst="verticalScroll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s-MX" sz="1100"/>
        </a:p>
      </xdr:txBody>
    </xdr:sp>
    <xdr:clientData/>
  </xdr:twoCellAnchor>
  <xdr:twoCellAnchor editAs="oneCell">
    <xdr:from>
      <xdr:col>6</xdr:col>
      <xdr:colOff>561975</xdr:colOff>
      <xdr:row>8</xdr:row>
      <xdr:rowOff>0</xdr:rowOff>
    </xdr:from>
    <xdr:to>
      <xdr:col>8</xdr:col>
      <xdr:colOff>257175</xdr:colOff>
      <xdr:row>16</xdr:row>
      <xdr:rowOff>57150</xdr:rowOff>
    </xdr:to>
    <xdr:sp macro="" textlink="">
      <xdr:nvSpPr>
        <xdr:cNvPr id="2049" name="AutoShape 1" descr="data:image/jpeg;base64,/9j/4AAQSkZJRgABAQAAAQABAAD/2wCEAAkGBhAPDxAQDw8PDg4QDw4RDxAPEhAQEBUQFRQWFhUQEhIXHCYeGBkjGRISHy8gIycpLCwsFx4xNTA2NSYrLCkBCQoKDgwOGg8PGjQjHyQvLC8yLCwwMDQwKSwsLzQsKSwsNCw0LiwsNSwsKSwsLCwpLCwsLCwsLCksLCwsLCwsKv/AABEIAN0A5AMBIgACEQEDEQH/xAAcAAEAAgIDAQAAAAAAAAAAAAAAAgcBBgMEBQj/xABMEAACAgEBBAcEBQgFCQkAAAABAgADEQQFBjFBBxIhUWFxkRMygaEUIkJSsRcjU2JystHSgpKiwcIVJDNEVGNzk/AlNDVDdIOz4fH/xAAaAQEAAwEBAQAAAAAAAAAAAAAAAwQFAgYB/8QALBEAAgICAAQFBAIDAQAAAAAAAAECAwQREiExQRQiUWFxBRMjkYGxMlKhQv/aAAwDAQACEQMRAD8AvGIiAIiIAiIgCIiAJjMzImASiRBkoAiIgCIiAJgmCZHMAkJmYEzAEREAREQBERAEREAREQBERAEREAREQBERAEgxk5xPxgDMkjTjzGYBzxIVvnzk4AiJx2PygGGaMyGZnMA5EMnOJOM5YAiIgCIiAIiIAiIgCIiAIiIAiJjMAzERAEREAThsPbOade3iYBjMxmRzMZgEw07CPkTqZmUswYB2rHwJ1szFlmT+EjmAcmYzIZmcwDlqPbOedao9onZgCIiAImCwmOtAJRI5mRAMxEQBERAEREAwZiSkWEAiTHXMwZEmAT9rJBx3zgJkSYB251rz2+kgLCOBkXfPaYAzMZkSZgmASzMZkczGYBPMzmceZnMAnmZzOPMkDAOao9o852WsA5zogyQMA7Jv7hI9cmcQMkDAJyQMgDJQCYk5hRMwBERAEREARE8TeneqrZ9QZvr2vkVVA4LEcSTyUczOoxcnpHMpKC4pdD2mYAZJAA4k9gnk6ne7Q1nD6ujPcHDfu5lO7b3l1OtYm+wlc9lS5WpfJefmcmeXmaMMHl5n+jKn9R5+Rfsu+vfDQMcLq6c8us3V+ZxPTruVwGRldTwZSGX1E+fczt7O2rdpm69Fr1Nz6p+qfBl4H4z7LBX/AJf7PkPqL35o/ovcmRJmrbo77rrPzVoFepAyMdiWAcSvcfD08NnJmdOEoPhkatdkbI8UQTOHUalK161jqi/edgo9TNb3w3zGk/M09V9SRk57VrB4FhzY8h8T41lrdfbe5e6xrXPNzn4AcAPASzTiSsXE+SKl+bGp8K5styze7Qg4Oqq+BLfMCcum3i0lpxXqaWJ4DrgH0OJS+YlnwMPVlNfUZ90i98xmVFsLezUaQgBjZTn61TkkY/UP2T5dnhLP2XtSvU1LbUcq3EH3lYcVYciJSux5VdehoUZMbunJ+h3sxmQzNO3t32NLNRpiPajsst4hD91RwLd55efCOuuVj1ElttjVHikbfqdbXUOtbYla97sqj4Znnne/Qj/Wqvh1iPUCVDfqHsYvY7O54s5LH1M48zQjgx7sy5fUZb8sS7dHt3TXHFWopc/dDr1v6p7Z6GZQU2Xd3fi/SsFsZr9PwKscuo762P4Hs8pxZgtLcHslq+oJvU1r3LaBkgZ1tHrEurWytg9bgFWHMfxnOXABJIAAJJPYABxJMztGnvfM5AZDUbQppGbra6hy9o6rnyyZXG8/SM7s1Wib2dY7Df8Abb9jPur48T4TSLbWdizsXY8WYlmPmT2y/VhSktyejOuz4xeoLZd7b8bPHZ9Lq+HWI9QJ2tHvJo7jirVUux4KHUN6HtlCZgyd4MOzK6+oz7pH0bEpXd3frU6MhSxvo7M1WEkgf7tj2qfDh4S3tk7Wq1dK3Ut1kb4EMOKsOREo3USq69DRoyYXdOvodyIiVyyQuuVFZ2PVVVLMTyUDJPoJQu8O231upsvfOGOK1+7WPdX07T4ky1+kbXey2bdg4NpSoeTN9b+yGlK5mngw5OZkfULHtQ/kzmblsPoz1OoQWWuumVhlQylrCO8rkYnQ6PtjjVa5A4zXUptYHgSCAoP9Ij0l2TrKyZQfDE5xMWNi459CqNqdFWpqQtTamowMlMGtz+zkkHyyJpLqVJBBBBIIIwQRxBHfPo2U/wBKWz1q1wdAB7eoOwH3wSpPxAX5z5jZMpy4ZH3LxY1x44GqUXtWyujFXRgysOIYdoMt5d6V/wAnfTSBn2fucvbZ6vU/r/KU5merbtQ/QK9PnsOptsPkFUAerMZPfUrOH5/4V8a91KXx/wBPP1Gpax2sdizuxZmPNjxMzp6GsdURSzsQFUcSZw5m8dGezAzW6hhnqYrTzIyxHwxJLbPtwciKmt22KJPRdGZKg3agq5HataggeGTxnlbw7k26RDaje2pHvEDquviw5jxEtEyFiBgVYBlIIYHgQewgzLjl2KW29mxLCqcdJafqUZmbHuPts6fUitj+avIRgeAf7LevZ8Z4+2ND9H1F1PKuxlX9nip9CJ0wxByOwjtB8eRmrJKyGvUxoSdU990W7vVtn6JpXdTi1vzdX7Z+18ACfSVIW78k8yeM2PfPbX0j6IAewadbGH69nH5L85rWZDi18EOfVk+Zb9yzS6I7Wz9BZqLFqqXrO3oBzJPITdKOjEdX85qWD8+og6vzM5ujjZoWl7yPrWMVU/qL3fHPpNyBlXIypqfDB60XMbEg4KU1tsqjePdK7RYckW0k4FijGDyV15efCeDmXhrtEt9T0uMpYpU/HgfMHB+EpG6oozI3vIzK3mpwfwlnFvdial1RUzMdVSTj0ZunRrt0padK5+pZlqs8rB2kDzHzHjPZ6StsGrTpQhwdQW65HH2S4yvxJA8gZWuh1hptrtXsNbo4+Bzj0zNv6UH61ulce62nYr/Xz+BE4nUvvxl6/wBokhc/DSj6f0zS8zYd09z7doMSG9lQhAezGTn7qjmfwmu5lz9HfVXZtGB73tGYj73Xbj6CS5NrrhuJDiUxts1Lojip6L9Aq4YXOebGwg+g7Jru9fRqKKmv0jO6oCz1PgsFHFkYccdxlnhgYYZGD2g8ZmRybIve9mvPFqlHWtHzjmbl0Y7bNOr9gT+a1AIxyFqjKsPMAj0moalQHcL7odwvkGIHynpbpAnX6THH6RWfgDk/IGa9qUq2n6GHQ3GyLXqX1ERMA9Kazv8A7Dv1ulWrThWcXI5DMFHVCsOPmRK+/JjtL9HV/wA1f4S5szBMsV5E61woq24sLZcUjSOjvdPUaGy99SqL10rVCrh+BJbPd9mbsbJEyDEAEk4AGST2ADvJkU5ucuJk1darjwoy1h//ACU50j7WW/WlUIZaEFWRwL5JfB8CcfAz398ukZQGo0LdZjkPqF91RzFR5n9bgOXeK1zNDEpcXxyM3NyFJcESWZy2qVCZ5r1h5Ekf3Ts7C2NZrL1prHE5duSpzY/9cZ6G/WmWnWmpBhK6dMqjwFYlxzXHwlBVvgc+3Q8HMtXo7p6ugU/fstb54/ulUZlubhf+H0+dv77Stmv8a+S3gL8j+D3zImSMgZkm0Vd0g1dXXMfv1VN8cFf8M1rM2npKP+eJ/wCnr/fsmqZm7Q/xx+DzuQvyy+TkawnGTnACjyHASOZHMZkpAXFulV1dDph31Bvi3b/fPYE8zdz/ALnpv+BV+6J6Qnn5/wCTPTVrUV8ExKc3up6mv1QHA2lh/SAb/FLjEqHfs/8AaOo86v8A4klvCfnfwUvqC/Gvk8PMsbbGyG1uyNJbWOtdRUrADtLJ1QrqPH6oPwlb5lx7oatKtl0WWuErSolmY4AHWMtZUnHhkuuyphxU+KMujRT2ZuG5G/A0QNF4ZtOzFlZe1q2PH6vNTx7xOhvftfQ6iwtpdO6OT9a7Ps1c8z7HB9ew+E1zMmaVsNSWiupOme4PZelO+OgYdYaygD9ZuqfipwZr+9PSXStT1aNzba4K+1AIrQHsLKT7zd2Oz8JVeYzII4kE9vmWZ51klpLRLM37ot3dZ7vpjriqsMKs/ac9hYeAGR5nwmm7G1WnrtDamhtRWPsLZ1PUY+t5ZEu/dvbml1dIOlICoApqwEZO4FOXmOyMuyUY6S69xhVRlPib6dj2ImImSbQIkTJzWd9N9a9nV9UYs1Tj83XyA/SWY4L+PqR1GLk9I5nNQXFI9Dbu8Gn0VftNQ/VBz1EHbY57kXn58BzlQ70786jXkp/odNnspU8fGxvtHw4fjPD2ltS3VWtbfYbLG4k8APuqOAHgJ1kUkgAEkkAADJJ7gJq048a+b5sxr8qVnJckZzPY3f3Y1GufFS4rBw9re4v8T4CbTut0YMwW7XAovYVoHYx/4hHDyEsejTJWgStVRFGFVQAAPKR3ZajygSUYTlznyXoeXu/u7ToavZ1DLHBssPvM3efDwladJS42i/61NB/s4/wy4DKt6WdLjU0WcrKSvxRj/c4kGLJu3b7lnMglTpdjSMy3ej5s7Op8GtH9tpUEtHow1YbRvXzqub0cAj55lnMW6/5KmC9WfwbeZEyZkDMo2Srukp/89Ud2nqH9pz/fNUzPd371Ys2hfjgnUr+KqM/MmeBNynlWvg89e92SfuSzGZ2do6A0+yz/AObRVaP6Wf4TqSRPa2iJx09Murdls6LSn/cVfuz1RNe3D1Qs2fT3p16z5qxx8iJsQEwrFqTR6Kt7gn7GRKe36fO0dT4NWPStBLiAlG7w6wXazU2DtD32Efsg4HyAlrCXmb9innvyJe50cz1dp7dezT6bTAkU0VjI5Nackse/GcD4988gQZpNJtNmUm0ml3JZm77ndHv0pFv1LMlLdqIvY7j7xPITR1GSB3kCfR2j0YStFGAqooAHcBKuVbKCSj3LmHTGxty7HhVbh7OUY+iofFi5PrmeFvJ0WVsjWaHrV2gE+xZi1b/qqT2qflLDVAJKZ8bpxe9mnKiuS00fNLAgkEEEEgg9hBHEETv7A25ZotQl9ZOVOHXk9Z95D5j54M9DpE0617U1IUYDNW5H6zopb5kn4zXJspqcefcwWnXPl2Z9K6XUrbWliHKWIrqe9WGR+MTwuj20tsvSk8QjL8FdgPkBEw5LUmj0UJcUU/U9Pbu100emt1FnatakgcCzcFQeJJAnz3tLaVmpusvubrWWN1mPIdyjuAGAB4SyemfaRFem04PY7WWuPBAFX5ufSVXNHEglHi9TKzbHKfD2RIS2tw93tHo0W/UX6ZtWwzg21EVA/ZXt97vMqOYwPCT2wc1reitTYq3xa2fSP+W9L/tOn/5tf8ZFtr6Q/wCs6f8A5tf8Z84YHhGB4St4Nepc8e/9T6It2rphw1NB/wDdr/jNT6RtImq0JtpdLW0tgcmtlfCEYcHHgVPwlR4HhLO6JqlbTatWAZWsVWU8CprwQfhOZU/Z86fQ7jkff/G11K0zNk3E3hXR6nFhxRcAlhPBTn6rnwBJB8D4Tqb27tPoNQUwTQ5Jos5Ffuk/eHA+vOeJLj4bIezM9cVU/dH0KDkAjtBGQR2gjvBnmbxbcr0VDWuR1sEVJzd+QHhzJ5CU5o9v6qlepVqbq05KrsFHkOAnW1Wtsubr22Pa/wB6xix8smU44fPm+RflneXyrmYuvZ2Z2OWdmZj3sTkn1M5tnaJr7q6V42Oq+QPE/AZM6mZZHRzuu1Y+l3LhmXFKkdoU8XI8fw85btsVcdlKmp2z1+yHSVsYCjT3IOyn8y2OSH3D8CCP6UrzMvrX6BL6rKbBlLFKt39vMeIOD8JSW29jW6O5qbR2jtRvsunJ1/67D2SDFs3HhfYs5tWpca6M2Xo53iWi1tPawWu4goxOALeGCeXWGB5gd8tECfPU9HT7yaytQiau9VHBRY2AO4Z4RdjccuJM+UZf248MkWrvnvGui07AMPpFqlaV5jPYbSO4fjiU3mZv1D2MWd2dzxZyWY+ZMgO3xPhJqalWtEF9ztls9rdLZh1OtorxlQ4sf9hD1j+AHxnV27ojRqtRURjqXWAfsk5U/FSDLP6O91jpKTdaMX3AZB4pXxC+fM//AFOp0kboNeBq9Opa1F6tyKMs9Y4Oo5svdzHlIVkL7uuxO8VqnffqVbmXtuHvSmu0qAsPpNSqlyc+zsFgHcfxyJQ85dLrLKXFlVj1WL7roxVh8RJrqlYtEFFzqlvsfTM6u0tpVaap7rnCVoMsT8gBzJ5CUrV0obTVer7dGx9p6qy3qAMzxdr7wanWMG1N72490HARf2UGAPSU44kt83yL8s6OvKuY27tY6vU3ahhg22FgvcvBV+CgCdHMjN06Oty21dy6i1SNLUwYZH+kcHsUd6g8T8O+X5SjXHZmwhK2el1ZaO5+zzp9BpamGGWpSw7mb6xHqYnsxMRvb2egitLSNG3/ANxNRtG+qym2lFrqKEWF85LE5GAfCat+RrW/p9L62/yy4ok0cicVpEE8aub4mU7+RrW/p9L62/yx+RrW/p9L62/yy4onXirDjwdXoU7+RrW/p9L62/yyB6INZ+n0vrb/ACy43acJEeKsHg6vQqH8kOs/T6b1s/lm4bi7rW7PruS563NjqwNfWxgLjByBNsMiROJ3zmtM7hjwg+KJ0dqbKp1VTVXoLK25HiDyZTxB8RK42v0T2qSdJatickt+o48OsOw/KWmRIkT5C2UOjOrKYWf5Io6zcTaKnH0Vz4q1ZHrmc2l6PNoWHtpFQ77HUfIZMukiYxJvFz9iDwVfqzR93ujWqhhZqGGosGCFAxUD34PvfH0m5hZyYmMSvOcpvcmWoVxgtRRDE8/bWwaNZX7O9OsB2ow7HU96ty/Az08RicptPaOmk1plV7T6LNShJ09ld6cgx9nZ8/qn1E8ZtxtoA4+iufIoR+Mu7EyBLKy5oqSwq305FN6Lo219hHWrSkd9jj91cmb1ux0eUaRhZYfpF44MwwinvRe/xM2wCSAnE8ic1o7rxq4PaAEkBAEkBICyapvH0c6XWE2JnTXntL1gFGPe9fDPiMGaRruinX1k+z9jqF5FH6jf1Xx+MuQCSEnhkThy2V541c3tooc9H+0/9js+BrP+KdzR9F+0rD20pSO+2xR8lyZeCGTkjy5+xEsKv1ZXuwOiGmoh9XZ9IYdvs1BWrPjzb5Tf6qVRQqKFVQAqqMADuAk4ledkpvcmWYVxgtRQiInBIIiIAiJgwDjaRM5CJHEAgRIkTl9nJCoecA6/UzwhqSBkztzju930gHTxMETkImMQDjxGJPEYgHHiZxJYmcQCOJnEziZxAMATsJQCAec4gJ2avdEA4zQfOR6pnZiAcAEyJylRMdSARAkwZjEzAMxEQBERAEREATGJmIBjEzEQBERAEhbwMnIvwgHWxGJPExiAQxAWSxOWpOcAz7EYx8/GdcpidyQsTPnAOtiZxJYjEAxic9XCcWJzV8IBKIiAIiIAiIgCIiAIiIAiIgCIiAIiIAiIgCYbhMzBgHFiMSWIxAMImZyzAEzAEREA43XnI4nNIFYBDE5E4TGJIQDMREAREQBERAEREAREQBERAEREAREQBERAEREAjMgRMwBERAEREAREQCOJkTMQBERAEREAREQBERAEREA//9k="/>
        <xdr:cNvSpPr>
          <a:spLocks noChangeAspect="1" noChangeArrowheads="1"/>
        </xdr:cNvSpPr>
      </xdr:nvSpPr>
      <xdr:spPr bwMode="auto">
        <a:xfrm>
          <a:off x="9039225" y="1628775"/>
          <a:ext cx="1733550" cy="1733550"/>
        </a:xfrm>
        <a:prstGeom prst="rect">
          <a:avLst/>
        </a:prstGeom>
        <a:noFill/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304800</xdr:colOff>
      <xdr:row>14</xdr:row>
      <xdr:rowOff>95250</xdr:rowOff>
    </xdr:to>
    <xdr:sp macro="" textlink="">
      <xdr:nvSpPr>
        <xdr:cNvPr id="2050" name="AutoShape 2" descr="data:image/jpeg;base64,/9j/4AAQSkZJRgABAQAAAQABAAD/2wCEAAkGBhAPDxAQDw8PDg4QDw4RDxAPEhAQEBUQFRQWFhUQEhIXHCYeGBkjGRISHy8gIycpLCwsFx4xNTA2NSYrLCkBCQoKDgwOGg8PGjQjHyQvLC8yLCwwMDQwKSwsLzQsKSwsNCw0LiwsNSwsKSwsLCwpLCwsLCwsLCksLCwsLCwsKv/AABEIAN0A5AMBIgACEQEDEQH/xAAcAAEAAgIDAQAAAAAAAAAAAAAAAgcBBgMEBQj/xABMEAACAgEBBAcEBQgFCQkAAAABAgADEQQFBjFBBxIhUWFxkRMygaEUIkJSsRcjU2JystHSgpKiwcIVJDNEVGNzk/AlNDVDdIOz4fH/xAAaAQEAAwEBAQAAAAAAAAAAAAAAAwQFAgYB/8QALBEAAgICAAQFBAIDAQAAAAAAAAECAwQREiExQRQiUWFxBRMjkYGxMlKhQv/aAAwDAQACEQMRAD8AvGIiAIiIAiIgCIiAJjMzImASiRBkoAiIgCIiAJgmCZHMAkJmYEzAEREAREQBERAEREAREQBERAEREAREQBERAEgxk5xPxgDMkjTjzGYBzxIVvnzk4AiJx2PygGGaMyGZnMA5EMnOJOM5YAiIgCIiAIiIAiIgCIiAIiIAiJjMAzERAEREAThsPbOade3iYBjMxmRzMZgEw07CPkTqZmUswYB2rHwJ1szFlmT+EjmAcmYzIZmcwDlqPbOedao9onZgCIiAImCwmOtAJRI5mRAMxEQBERAEREAwZiSkWEAiTHXMwZEmAT9rJBx3zgJkSYB251rz2+kgLCOBkXfPaYAzMZkSZgmASzMZkczGYBPMzmceZnMAnmZzOPMkDAOao9o852WsA5zogyQMA7Jv7hI9cmcQMkDAJyQMgDJQCYk5hRMwBERAEREARE8TeneqrZ9QZvr2vkVVA4LEcSTyUczOoxcnpHMpKC4pdD2mYAZJAA4k9gnk6ne7Q1nD6ujPcHDfu5lO7b3l1OtYm+wlc9lS5WpfJefmcmeXmaMMHl5n+jKn9R5+Rfsu+vfDQMcLq6c8us3V+ZxPTruVwGRldTwZSGX1E+fczt7O2rdpm69Fr1Nz6p+qfBl4H4z7LBX/AJf7PkPqL35o/ovcmRJmrbo77rrPzVoFepAyMdiWAcSvcfD08NnJmdOEoPhkatdkbI8UQTOHUalK161jqi/edgo9TNb3w3zGk/M09V9SRk57VrB4FhzY8h8T41lrdfbe5e6xrXPNzn4AcAPASzTiSsXE+SKl+bGp8K5styze7Qg4Oqq+BLfMCcum3i0lpxXqaWJ4DrgH0OJS+YlnwMPVlNfUZ90i98xmVFsLezUaQgBjZTn61TkkY/UP2T5dnhLP2XtSvU1LbUcq3EH3lYcVYciJSux5VdehoUZMbunJ+h3sxmQzNO3t32NLNRpiPajsst4hD91RwLd55efCOuuVj1ElttjVHikbfqdbXUOtbYla97sqj4Znnne/Qj/Wqvh1iPUCVDfqHsYvY7O54s5LH1M48zQjgx7sy5fUZb8sS7dHt3TXHFWopc/dDr1v6p7Z6GZQU2Xd3fi/SsFsZr9PwKscuo762P4Hs8pxZgtLcHslq+oJvU1r3LaBkgZ1tHrEurWytg9bgFWHMfxnOXABJIAAJJPYABxJMztGnvfM5AZDUbQppGbra6hy9o6rnyyZXG8/SM7s1Wib2dY7Df8Abb9jPur48T4TSLbWdizsXY8WYlmPmT2y/VhSktyejOuz4xeoLZd7b8bPHZ9Lq+HWI9QJ2tHvJo7jirVUux4KHUN6HtlCZgyd4MOzK6+oz7pH0bEpXd3frU6MhSxvo7M1WEkgf7tj2qfDh4S3tk7Wq1dK3Ut1kb4EMOKsOREo3USq69DRoyYXdOvodyIiVyyQuuVFZ2PVVVLMTyUDJPoJQu8O231upsvfOGOK1+7WPdX07T4ky1+kbXey2bdg4NpSoeTN9b+yGlK5mngw5OZkfULHtQ/kzmblsPoz1OoQWWuumVhlQylrCO8rkYnQ6PtjjVa5A4zXUptYHgSCAoP9Ij0l2TrKyZQfDE5xMWNi459CqNqdFWpqQtTamowMlMGtz+zkkHyyJpLqVJBBBBIIIwQRxBHfPo2U/wBKWz1q1wdAB7eoOwH3wSpPxAX5z5jZMpy4ZH3LxY1x44GqUXtWyujFXRgysOIYdoMt5d6V/wAnfTSBn2fucvbZ6vU/r/KU5merbtQ/QK9PnsOptsPkFUAerMZPfUrOH5/4V8a91KXx/wBPP1Gpax2sdizuxZmPNjxMzp6GsdURSzsQFUcSZw5m8dGezAzW6hhnqYrTzIyxHwxJLbPtwciKmt22KJPRdGZKg3agq5HataggeGTxnlbw7k26RDaje2pHvEDquviw5jxEtEyFiBgVYBlIIYHgQewgzLjl2KW29mxLCqcdJafqUZmbHuPts6fUitj+avIRgeAf7LevZ8Z4+2ND9H1F1PKuxlX9nip9CJ0wxByOwjtB8eRmrJKyGvUxoSdU990W7vVtn6JpXdTi1vzdX7Z+18ACfSVIW78k8yeM2PfPbX0j6IAewadbGH69nH5L85rWZDi18EOfVk+Zb9yzS6I7Wz9BZqLFqqXrO3oBzJPITdKOjEdX85qWD8+og6vzM5ujjZoWl7yPrWMVU/qL3fHPpNyBlXIypqfDB60XMbEg4KU1tsqjePdK7RYckW0k4FijGDyV15efCeDmXhrtEt9T0uMpYpU/HgfMHB+EpG6oozI3vIzK3mpwfwlnFvdial1RUzMdVSTj0ZunRrt0padK5+pZlqs8rB2kDzHzHjPZ6StsGrTpQhwdQW65HH2S4yvxJA8gZWuh1hptrtXsNbo4+Bzj0zNv6UH61ulce62nYr/Xz+BE4nUvvxl6/wBokhc/DSj6f0zS8zYd09z7doMSG9lQhAezGTn7qjmfwmu5lz9HfVXZtGB73tGYj73Xbj6CS5NrrhuJDiUxts1Lojip6L9Aq4YXOebGwg+g7Jru9fRqKKmv0jO6oCz1PgsFHFkYccdxlnhgYYZGD2g8ZmRybIve9mvPFqlHWtHzjmbl0Y7bNOr9gT+a1AIxyFqjKsPMAj0moalQHcL7odwvkGIHynpbpAnX6THH6RWfgDk/IGa9qUq2n6GHQ3GyLXqX1ERMA9Kazv8A7Dv1ulWrThWcXI5DMFHVCsOPmRK+/JjtL9HV/wA1f4S5szBMsV5E61woq24sLZcUjSOjvdPUaGy99SqL10rVCrh+BJbPd9mbsbJEyDEAEk4AGST2ADvJkU5ucuJk1darjwoy1h//ACU50j7WW/WlUIZaEFWRwL5JfB8CcfAz398ukZQGo0LdZjkPqF91RzFR5n9bgOXeK1zNDEpcXxyM3NyFJcESWZy2qVCZ5r1h5Ekf3Ts7C2NZrL1prHE5duSpzY/9cZ6G/WmWnWmpBhK6dMqjwFYlxzXHwlBVvgc+3Q8HMtXo7p6ugU/fstb54/ulUZlubhf+H0+dv77Stmv8a+S3gL8j+D3zImSMgZkm0Vd0g1dXXMfv1VN8cFf8M1rM2npKP+eJ/wCnr/fsmqZm7Q/xx+DzuQvyy+TkawnGTnACjyHASOZHMZkpAXFulV1dDph31Bvi3b/fPYE8zdz/ALnpv+BV+6J6Qnn5/wCTPTVrUV8ExKc3up6mv1QHA2lh/SAb/FLjEqHfs/8AaOo86v8A4klvCfnfwUvqC/Gvk8PMsbbGyG1uyNJbWOtdRUrADtLJ1QrqPH6oPwlb5lx7oatKtl0WWuErSolmY4AHWMtZUnHhkuuyphxU+KMujRT2ZuG5G/A0QNF4ZtOzFlZe1q2PH6vNTx7xOhvftfQ6iwtpdO6OT9a7Ps1c8z7HB9ew+E1zMmaVsNSWiupOme4PZelO+OgYdYaygD9ZuqfipwZr+9PSXStT1aNzba4K+1AIrQHsLKT7zd2Oz8JVeYzII4kE9vmWZ51klpLRLM37ot3dZ7vpjriqsMKs/ac9hYeAGR5nwmm7G1WnrtDamhtRWPsLZ1PUY+t5ZEu/dvbml1dIOlICoApqwEZO4FOXmOyMuyUY6S69xhVRlPib6dj2ImImSbQIkTJzWd9N9a9nV9UYs1Tj83XyA/SWY4L+PqR1GLk9I5nNQXFI9Dbu8Gn0VftNQ/VBz1EHbY57kXn58BzlQ70786jXkp/odNnspU8fGxvtHw4fjPD2ltS3VWtbfYbLG4k8APuqOAHgJ1kUkgAEkkAADJJ7gJq048a+b5sxr8qVnJckZzPY3f3Y1GufFS4rBw9re4v8T4CbTut0YMwW7XAovYVoHYx/4hHDyEsejTJWgStVRFGFVQAAPKR3ZajygSUYTlznyXoeXu/u7ToavZ1DLHBssPvM3efDwladJS42i/61NB/s4/wy4DKt6WdLjU0WcrKSvxRj/c4kGLJu3b7lnMglTpdjSMy3ej5s7Op8GtH9tpUEtHow1YbRvXzqub0cAj55lnMW6/5KmC9WfwbeZEyZkDMo2Srukp/89Ud2nqH9pz/fNUzPd371Ys2hfjgnUr+KqM/MmeBNynlWvg89e92SfuSzGZ2do6A0+yz/AObRVaP6Wf4TqSRPa2iJx09Murdls6LSn/cVfuz1RNe3D1Qs2fT3p16z5qxx8iJsQEwrFqTR6Kt7gn7GRKe36fO0dT4NWPStBLiAlG7w6wXazU2DtD32Efsg4HyAlrCXmb9innvyJe50cz1dp7dezT6bTAkU0VjI5Nackse/GcD4988gQZpNJtNmUm0ml3JZm77ndHv0pFv1LMlLdqIvY7j7xPITR1GSB3kCfR2j0YStFGAqooAHcBKuVbKCSj3LmHTGxty7HhVbh7OUY+iofFi5PrmeFvJ0WVsjWaHrV2gE+xZi1b/qqT2qflLDVAJKZ8bpxe9mnKiuS00fNLAgkEEEEgg9hBHEETv7A25ZotQl9ZOVOHXk9Z95D5j54M9DpE0617U1IUYDNW5H6zopb5kn4zXJspqcefcwWnXPl2Z9K6XUrbWliHKWIrqe9WGR+MTwuj20tsvSk8QjL8FdgPkBEw5LUmj0UJcUU/U9Pbu100emt1FnatakgcCzcFQeJJAnz3tLaVmpusvubrWWN1mPIdyjuAGAB4SyemfaRFem04PY7WWuPBAFX5ufSVXNHEglHi9TKzbHKfD2RIS2tw93tHo0W/UX6ZtWwzg21EVA/ZXt97vMqOYwPCT2wc1reitTYq3xa2fSP+W9L/tOn/5tf8ZFtr6Q/wCs6f8A5tf8Z84YHhGB4St4Nepc8e/9T6It2rphw1NB/wDdr/jNT6RtImq0JtpdLW0tgcmtlfCEYcHHgVPwlR4HhLO6JqlbTatWAZWsVWU8CprwQfhOZU/Z86fQ7jkff/G11K0zNk3E3hXR6nFhxRcAlhPBTn6rnwBJB8D4Tqb27tPoNQUwTQ5Jos5Ffuk/eHA+vOeJLj4bIezM9cVU/dH0KDkAjtBGQR2gjvBnmbxbcr0VDWuR1sEVJzd+QHhzJ5CU5o9v6qlepVqbq05KrsFHkOAnW1Wtsubr22Pa/wB6xix8smU44fPm+RflneXyrmYuvZ2Z2OWdmZj3sTkn1M5tnaJr7q6V42Oq+QPE/AZM6mZZHRzuu1Y+l3LhmXFKkdoU8XI8fw85btsVcdlKmp2z1+yHSVsYCjT3IOyn8y2OSH3D8CCP6UrzMvrX6BL6rKbBlLFKt39vMeIOD8JSW29jW6O5qbR2jtRvsunJ1/67D2SDFs3HhfYs5tWpca6M2Xo53iWi1tPawWu4goxOALeGCeXWGB5gd8tECfPU9HT7yaytQiau9VHBRY2AO4Z4RdjccuJM+UZf248MkWrvnvGui07AMPpFqlaV5jPYbSO4fjiU3mZv1D2MWd2dzxZyWY+ZMgO3xPhJqalWtEF9ztls9rdLZh1OtorxlQ4sf9hD1j+AHxnV27ojRqtRURjqXWAfsk5U/FSDLP6O91jpKTdaMX3AZB4pXxC+fM//AFOp0kboNeBq9Opa1F6tyKMs9Y4Oo5svdzHlIVkL7uuxO8VqnffqVbmXtuHvSmu0qAsPpNSqlyc+zsFgHcfxyJQ85dLrLKXFlVj1WL7roxVh8RJrqlYtEFFzqlvsfTM6u0tpVaap7rnCVoMsT8gBzJ5CUrV0obTVer7dGx9p6qy3qAMzxdr7wanWMG1N72490HARf2UGAPSU44kt83yL8s6OvKuY27tY6vU3ahhg22FgvcvBV+CgCdHMjN06Oty21dy6i1SNLUwYZH+kcHsUd6g8T8O+X5SjXHZmwhK2el1ZaO5+zzp9BpamGGWpSw7mb6xHqYnsxMRvb2egitLSNG3/ANxNRtG+qym2lFrqKEWF85LE5GAfCat+RrW/p9L62/yy4ok0cicVpEE8aub4mU7+RrW/p9L62/yx+RrW/p9L62/yy4onXirDjwdXoU7+RrW/p9L62/yyB6INZ+n0vrb/ACy43acJEeKsHg6vQqH8kOs/T6b1s/lm4bi7rW7PruS563NjqwNfWxgLjByBNsMiROJ3zmtM7hjwg+KJ0dqbKp1VTVXoLK25HiDyZTxB8RK42v0T2qSdJatickt+o48OsOw/KWmRIkT5C2UOjOrKYWf5Io6zcTaKnH0Vz4q1ZHrmc2l6PNoWHtpFQ77HUfIZMukiYxJvFz9iDwVfqzR93ujWqhhZqGGosGCFAxUD34PvfH0m5hZyYmMSvOcpvcmWoVxgtRRDE8/bWwaNZX7O9OsB2ow7HU96ty/Az08RicptPaOmk1plV7T6LNShJ09ld6cgx9nZ8/qn1E8ZtxtoA4+iufIoR+Mu7EyBLKy5oqSwq305FN6Lo219hHWrSkd9jj91cmb1ux0eUaRhZYfpF44MwwinvRe/xM2wCSAnE8ic1o7rxq4PaAEkBAEkBICyapvH0c6XWE2JnTXntL1gFGPe9fDPiMGaRruinX1k+z9jqF5FH6jf1Xx+MuQCSEnhkThy2V541c3tooc9H+0/9js+BrP+KdzR9F+0rD20pSO+2xR8lyZeCGTkjy5+xEsKv1ZXuwOiGmoh9XZ9IYdvs1BWrPjzb5Tf6qVRQqKFVQAqqMADuAk4ledkpvcmWYVxgtRQiInBIIiIAiJgwDjaRM5CJHEAgRIkTl9nJCoecA6/UzwhqSBkztzju930gHTxMETkImMQDjxGJPEYgHHiZxJYmcQCOJnEziZxAMATsJQCAec4gJ2avdEA4zQfOR6pnZiAcAEyJylRMdSARAkwZjEzAMxEQBERAEREATGJmIBjEzEQBERAEhbwMnIvwgHWxGJPExiAQxAWSxOWpOcAz7EYx8/GdcpidyQsTPnAOtiZxJYjEAxic9XCcWJzV8IBKIiAIiIAiIgCIiAIiIAiIgCIiAIiIAiIgCYbhMzBgHFiMSWIxAMImZyzAEzAEREA43XnI4nNIFYBDE5E4TGJIQDMREAREQBERAEREAREQBERAEREAREQBERAEREAjMgRMwBERAEREAREQCOJkTMQBERAEREAREQBERAEREA//9k="/>
        <xdr:cNvSpPr>
          <a:spLocks noChangeAspect="1" noChangeArrowheads="1"/>
        </xdr:cNvSpPr>
      </xdr:nvSpPr>
      <xdr:spPr bwMode="auto">
        <a:xfrm>
          <a:off x="9601200" y="2676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8</xdr:col>
      <xdr:colOff>390525</xdr:colOff>
      <xdr:row>11</xdr:row>
      <xdr:rowOff>88964</xdr:rowOff>
    </xdr:from>
    <xdr:to>
      <xdr:col>8</xdr:col>
      <xdr:colOff>1714500</xdr:colOff>
      <xdr:row>15</xdr:row>
      <xdr:rowOff>132542</xdr:rowOff>
    </xdr:to>
    <xdr:pic>
      <xdr:nvPicPr>
        <xdr:cNvPr id="2052" name="Picture 4" descr="http://queroficarrico.com/blog/wp-content/uploads/2009/01/2008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906125" y="2346389"/>
          <a:ext cx="1323975" cy="881778"/>
        </a:xfrm>
        <a:prstGeom prst="rect">
          <a:avLst/>
        </a:prstGeom>
        <a:noFill/>
      </xdr:spPr>
    </xdr:pic>
    <xdr:clientData/>
  </xdr:twoCellAnchor>
  <xdr:twoCellAnchor>
    <xdr:from>
      <xdr:col>7</xdr:col>
      <xdr:colOff>904875</xdr:colOff>
      <xdr:row>27</xdr:row>
      <xdr:rowOff>66675</xdr:rowOff>
    </xdr:from>
    <xdr:to>
      <xdr:col>8</xdr:col>
      <xdr:colOff>1990725</xdr:colOff>
      <xdr:row>34</xdr:row>
      <xdr:rowOff>190500</xdr:rowOff>
    </xdr:to>
    <xdr:sp macro="" textlink="">
      <xdr:nvSpPr>
        <xdr:cNvPr id="7" name="6 Pergamino horizontal"/>
        <xdr:cNvSpPr/>
      </xdr:nvSpPr>
      <xdr:spPr>
        <a:xfrm>
          <a:off x="10506075" y="5600700"/>
          <a:ext cx="2000250" cy="1590675"/>
        </a:xfrm>
        <a:prstGeom prst="horizontalScroll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s-MX" sz="1100"/>
        </a:p>
      </xdr:txBody>
    </xdr:sp>
    <xdr:clientData/>
  </xdr:twoCellAnchor>
  <xdr:twoCellAnchor editAs="oneCell">
    <xdr:from>
      <xdr:col>8</xdr:col>
      <xdr:colOff>276225</xdr:colOff>
      <xdr:row>28</xdr:row>
      <xdr:rowOff>57150</xdr:rowOff>
    </xdr:from>
    <xdr:to>
      <xdr:col>8</xdr:col>
      <xdr:colOff>1847851</xdr:colOff>
      <xdr:row>34</xdr:row>
      <xdr:rowOff>16671</xdr:rowOff>
    </xdr:to>
    <xdr:pic>
      <xdr:nvPicPr>
        <xdr:cNvPr id="2053" name="Picture 5" descr="http://fc51.deviantart.com/fs39/f/2008/361/4/a/Bienvenido_2009_by_Chepedog17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791825" y="5800725"/>
          <a:ext cx="1571626" cy="1216821"/>
        </a:xfrm>
        <a:prstGeom prst="rect">
          <a:avLst/>
        </a:prstGeom>
        <a:noFill/>
      </xdr:spPr>
    </xdr:pic>
    <xdr:clientData/>
  </xdr:twoCellAnchor>
  <xdr:twoCellAnchor>
    <xdr:from>
      <xdr:col>8</xdr:col>
      <xdr:colOff>9525</xdr:colOff>
      <xdr:row>48</xdr:row>
      <xdr:rowOff>104775</xdr:rowOff>
    </xdr:from>
    <xdr:to>
      <xdr:col>9</xdr:col>
      <xdr:colOff>38100</xdr:colOff>
      <xdr:row>55</xdr:row>
      <xdr:rowOff>142875</xdr:rowOff>
    </xdr:to>
    <xdr:sp macro="" textlink="">
      <xdr:nvSpPr>
        <xdr:cNvPr id="9" name="8 Onda"/>
        <xdr:cNvSpPr/>
      </xdr:nvSpPr>
      <xdr:spPr>
        <a:xfrm>
          <a:off x="10525125" y="9944100"/>
          <a:ext cx="2047875" cy="1504950"/>
        </a:xfrm>
        <a:prstGeom prst="wav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s-MX" sz="1100"/>
        </a:p>
      </xdr:txBody>
    </xdr:sp>
    <xdr:clientData/>
  </xdr:twoCellAnchor>
  <xdr:twoCellAnchor editAs="oneCell">
    <xdr:from>
      <xdr:col>8</xdr:col>
      <xdr:colOff>466725</xdr:colOff>
      <xdr:row>49</xdr:row>
      <xdr:rowOff>57150</xdr:rowOff>
    </xdr:from>
    <xdr:to>
      <xdr:col>8</xdr:col>
      <xdr:colOff>1638300</xdr:colOff>
      <xdr:row>54</xdr:row>
      <xdr:rowOff>180975</xdr:rowOff>
    </xdr:to>
    <xdr:pic>
      <xdr:nvPicPr>
        <xdr:cNvPr id="2057" name="irc_mi" descr="http://hispano4lo.files.wordpress.com/2009/12/20101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982325" y="10106025"/>
          <a:ext cx="1171575" cy="1171575"/>
        </a:xfrm>
        <a:prstGeom prst="rect">
          <a:avLst/>
        </a:prstGeom>
        <a:noFill/>
        <a:scene3d>
          <a:camera prst="isometricLeftDown"/>
          <a:lightRig rig="threePt" dir="t"/>
        </a:scene3d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1457325</xdr:colOff>
      <xdr:row>2</xdr:row>
      <xdr:rowOff>95250</xdr:rowOff>
    </xdr:from>
    <xdr:to>
      <xdr:col>4</xdr:col>
      <xdr:colOff>3714750</xdr:colOff>
      <xdr:row>8</xdr:row>
      <xdr:rowOff>102530</xdr:rowOff>
    </xdr:to>
    <xdr:pic>
      <xdr:nvPicPr>
        <xdr:cNvPr id="2" name="Picture 1" descr="https://encrypted-tbn2.gstatic.com/images?q=tbn:ANd9GcTBn5RkGZCroWYpX77mCiwJVzLPUCeBUTgrbn_wHY7M2Nl01QMBmQ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29375" y="476250"/>
          <a:ext cx="2257425" cy="115028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276224</xdr:colOff>
      <xdr:row>0</xdr:row>
      <xdr:rowOff>180975</xdr:rowOff>
    </xdr:from>
    <xdr:to>
      <xdr:col>10</xdr:col>
      <xdr:colOff>628649</xdr:colOff>
      <xdr:row>19</xdr:row>
      <xdr:rowOff>80962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EM" refreshedDate="41696.768547685184" createdVersion="5" refreshedVersion="5" minRefreshableVersion="3" recordCount="6">
  <cacheSource type="worksheet">
    <worksheetSource ref="A1:C7" sheet="Grafico"/>
  </cacheSource>
  <cacheFields count="3">
    <cacheField name="Año" numFmtId="0">
      <sharedItems containsSemiMixedTypes="0" containsString="0" containsNumber="1" containsInteger="1" minValue="2008" maxValue="2010"/>
    </cacheField>
    <cacheField name="Estado" numFmtId="0">
      <sharedItems count="6">
        <s v="Utilidad Bruta del Ejercicio 2008"/>
        <s v="Utilidad Bruta del Ejercicio 2009"/>
        <s v="Utilidad Bruta del Ejercicio 2010"/>
        <s v="Utilidad Neta del Ejercicio 2008"/>
        <s v="Utilidad Neta del Ejercicio 2009"/>
        <s v="Utilidad Neta del Ejercicio 2010"/>
      </sharedItems>
    </cacheField>
    <cacheField name="Cantidad" numFmtId="164">
      <sharedItems containsSemiMixedTypes="0" containsString="0" containsNumber="1" minValue="34035.721371428568" maxValue="52545.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n v="2008"/>
    <x v="0"/>
    <n v="40985.721371428568"/>
  </r>
  <r>
    <n v="2009"/>
    <x v="1"/>
    <n v="52545.86"/>
  </r>
  <r>
    <n v="2010"/>
    <x v="2"/>
    <n v="41764.389900000009"/>
  </r>
  <r>
    <n v="2008"/>
    <x v="3"/>
    <n v="34035.721371428568"/>
  </r>
  <r>
    <n v="2009"/>
    <x v="4"/>
    <n v="45095.86"/>
  </r>
  <r>
    <n v="2010"/>
    <x v="5"/>
    <n v="44464.3899000000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" cacheId="0" applyNumberFormats="0" applyBorderFormats="0" applyFontFormats="0" applyPatternFormats="0" applyAlignmentFormats="0" applyWidthHeightFormats="1" dataCaption="Valores" updatedVersion="5" minRefreshableVersion="3" useAutoFormatting="1" rowGrandTotals="0" itemPrintTitles="1" createdVersion="5" indent="0" showHeaders="0" outline="1" outlineData="1" multipleFieldFilters="0" chartFormat="3">
  <location ref="B9:C15" firstHeaderRow="1" firstDataRow="1" firstDataCol="1"/>
  <pivotFields count="3">
    <pivotField showAll="0"/>
    <pivotField axis="axisRow" showAll="0">
      <items count="7">
        <item x="0"/>
        <item x="1"/>
        <item x="2"/>
        <item x="3"/>
        <item x="4"/>
        <item x="5"/>
        <item t="default"/>
      </items>
    </pivotField>
    <pivotField dataField="1" numFmtId="164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>
      <x v="5"/>
    </i>
  </rowItems>
  <colItems count="1">
    <i/>
  </colItems>
  <dataFields count="1">
    <dataField name="Suma de Cantidad" fld="2" baseField="0" baseItem="0" numFmtId="164"/>
  </dataFields>
  <formats count="9">
    <format dxfId="8">
      <pivotArea outline="0" collapsedLevelsAreSubtotals="1" fieldPosition="0"/>
    </format>
    <format dxfId="7">
      <pivotArea type="all" dataOnly="0" outline="0" fieldPosition="0"/>
    </format>
    <format dxfId="6">
      <pivotArea outline="0" collapsedLevelsAreSubtotals="1" fieldPosition="0"/>
    </format>
    <format dxfId="5">
      <pivotArea dataOnly="0" labelOnly="1" outline="0" axis="axisValues" fieldPosition="0"/>
    </format>
    <format dxfId="4">
      <pivotArea dataOnly="0" labelOnly="1" fieldPosition="0">
        <references count="1">
          <reference field="1" count="0"/>
        </references>
      </pivotArea>
    </format>
    <format dxfId="3">
      <pivotArea type="all" dataOnly="0" outline="0" fieldPosition="0"/>
    </format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dataOnly="0" labelOnly="1" fieldPosition="0">
        <references count="1">
          <reference field="1" count="0"/>
        </references>
      </pivotArea>
    </format>
  </format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"/>
  <sheetViews>
    <sheetView showGridLines="0" workbookViewId="0"/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C1:R62"/>
  <sheetViews>
    <sheetView showGridLines="0" topLeftCell="C1" workbookViewId="0">
      <selection activeCell="J4" sqref="J4"/>
    </sheetView>
  </sheetViews>
  <sheetFormatPr baseColWidth="10" defaultRowHeight="15" x14ac:dyDescent="0.25"/>
  <cols>
    <col min="3" max="3" width="47.42578125" customWidth="1"/>
    <col min="4" max="4" width="17.28515625" customWidth="1"/>
    <col min="5" max="5" width="20.140625" customWidth="1"/>
    <col min="6" max="6" width="19.42578125" customWidth="1"/>
    <col min="7" max="7" width="16.85546875" customWidth="1"/>
    <col min="8" max="8" width="13.7109375" bestFit="1" customWidth="1"/>
    <col min="9" max="9" width="30.28515625" customWidth="1"/>
    <col min="10" max="10" width="18.140625" customWidth="1"/>
    <col min="11" max="11" width="13.28515625" customWidth="1"/>
    <col min="14" max="14" width="18.28515625" customWidth="1"/>
    <col min="15" max="15" width="19.5703125" customWidth="1"/>
    <col min="16" max="16" width="15.28515625" customWidth="1"/>
    <col min="17" max="17" width="23.140625" customWidth="1"/>
  </cols>
  <sheetData>
    <row r="1" spans="3:16" x14ac:dyDescent="0.25">
      <c r="C1" s="42" t="s">
        <v>27</v>
      </c>
      <c r="D1" s="42"/>
      <c r="E1" s="42"/>
      <c r="F1" s="42"/>
      <c r="N1" s="41" t="s">
        <v>15</v>
      </c>
      <c r="O1" s="41"/>
      <c r="P1" s="41"/>
    </row>
    <row r="2" spans="3:16" x14ac:dyDescent="0.25">
      <c r="C2" s="43" t="s">
        <v>28</v>
      </c>
      <c r="D2" s="43"/>
      <c r="E2" s="43"/>
      <c r="F2" s="43"/>
      <c r="H2" s="7" t="s">
        <v>33</v>
      </c>
      <c r="N2" s="21" t="str">
        <f>D3</f>
        <v>Mochila</v>
      </c>
      <c r="O2" s="21" t="str">
        <f t="shared" ref="O2:P2" si="0">E3</f>
        <v>Calculadora</v>
      </c>
      <c r="P2" s="21" t="str">
        <f t="shared" si="0"/>
        <v>Carpeta</v>
      </c>
    </row>
    <row r="3" spans="3:16" ht="15.75" thickBot="1" x14ac:dyDescent="0.3">
      <c r="C3" s="18" t="s">
        <v>0</v>
      </c>
      <c r="D3" s="18" t="s">
        <v>16</v>
      </c>
      <c r="E3" s="18" t="s">
        <v>17</v>
      </c>
      <c r="F3" s="18" t="s">
        <v>18</v>
      </c>
      <c r="G3" s="2"/>
      <c r="H3" s="34">
        <v>2008</v>
      </c>
      <c r="I3" s="27" t="str">
        <f>IF(J3&gt;0,"Utilidad Bruta del Ejercicio 2008","Pérdida Bruta del Ejercicio 2008")</f>
        <v>Utilidad Bruta del Ejercicio 2008</v>
      </c>
      <c r="J3" s="28">
        <f>SUM(D17:F17)</f>
        <v>40985.721371428568</v>
      </c>
      <c r="N3" s="23">
        <v>80</v>
      </c>
      <c r="O3" s="23">
        <f>PRODUCT(80*60%)</f>
        <v>48</v>
      </c>
      <c r="P3" s="23">
        <f>PRODUCT(O3*69%)</f>
        <v>33.119999999999997</v>
      </c>
    </row>
    <row r="4" spans="3:16" ht="16.5" thickTop="1" thickBot="1" x14ac:dyDescent="0.3">
      <c r="C4" s="17" t="s">
        <v>5</v>
      </c>
      <c r="D4" s="16">
        <f>ROUND(PRODUCT(D7*N7),0)</f>
        <v>225</v>
      </c>
      <c r="E4" s="16">
        <f>ROUND(PRODUCT(E7*O7),0)</f>
        <v>400</v>
      </c>
      <c r="F4" s="16">
        <f>ROUND(PRODUCT(F7*P7),0)</f>
        <v>515</v>
      </c>
      <c r="G4" s="1"/>
      <c r="H4" s="13">
        <v>2009</v>
      </c>
      <c r="I4" s="27" t="str">
        <f>IF(J4&gt;0,"Utilidad Bruta del Ejercicio 2009","Pérdida Bruta del Ejercicio 2009")</f>
        <v>Utilidad Bruta del Ejercicio 2009</v>
      </c>
      <c r="J4" s="29">
        <f>SUM(D38:F38)</f>
        <v>52545.86</v>
      </c>
      <c r="N4" s="4"/>
      <c r="O4" s="4"/>
      <c r="P4" s="4"/>
    </row>
    <row r="5" spans="3:16" ht="16.5" thickTop="1" thickBot="1" x14ac:dyDescent="0.3">
      <c r="C5" s="17" t="s">
        <v>2</v>
      </c>
      <c r="D5" s="19">
        <f>PRODUCT(D4*N3)</f>
        <v>18000</v>
      </c>
      <c r="E5" s="19">
        <f>PRODUCT(E4*O3)</f>
        <v>19200</v>
      </c>
      <c r="F5" s="19">
        <f>PRODUCT(F4*P3)</f>
        <v>17056.8</v>
      </c>
      <c r="G5" s="1"/>
      <c r="H5" s="13">
        <v>2010</v>
      </c>
      <c r="I5" s="27" t="str">
        <f>IF(J5&gt;0,"Utilidad Bruta del Ejercicio 2010","Pérdida Bruta del Ejercicio 2010")</f>
        <v>Utilidad Bruta del Ejercicio 2010</v>
      </c>
      <c r="J5" s="29">
        <f>SUM(D60:F60)</f>
        <v>41764.389900000009</v>
      </c>
      <c r="N5" s="41" t="s">
        <v>1</v>
      </c>
      <c r="O5" s="41"/>
      <c r="P5" s="41"/>
    </row>
    <row r="6" spans="3:16" ht="16.5" thickTop="1" thickBot="1" x14ac:dyDescent="0.3">
      <c r="C6" s="17" t="s">
        <v>6</v>
      </c>
      <c r="D6" s="16">
        <v>200</v>
      </c>
      <c r="E6" s="16">
        <v>350</v>
      </c>
      <c r="F6" s="16">
        <v>450</v>
      </c>
      <c r="G6" s="1"/>
      <c r="H6" s="34">
        <v>2008</v>
      </c>
      <c r="I6" s="27" t="str">
        <f>IF(J6&gt;0,"Utilidad Neta del Ejercicio 2008","Pérdida Neta del Ejercicio 2008")</f>
        <v>Utilidad Neta del Ejercicio 2008</v>
      </c>
      <c r="J6" s="29">
        <f>J3-Q19</f>
        <v>34035.721371428568</v>
      </c>
      <c r="N6" s="21" t="str">
        <f>N2</f>
        <v>Mochila</v>
      </c>
      <c r="O6" s="21" t="str">
        <f t="shared" ref="O6:P6" si="1">O2</f>
        <v>Calculadora</v>
      </c>
      <c r="P6" s="21" t="str">
        <f t="shared" si="1"/>
        <v>Carpeta</v>
      </c>
    </row>
    <row r="7" spans="3:16" ht="16.5" thickTop="1" thickBot="1" x14ac:dyDescent="0.3">
      <c r="C7" s="17" t="s">
        <v>7</v>
      </c>
      <c r="D7" s="16">
        <f>TRUNC(225/16,2)</f>
        <v>14.06</v>
      </c>
      <c r="E7" s="16">
        <f>TRUNC(400/O7,2)</f>
        <v>40</v>
      </c>
      <c r="F7" s="16">
        <f>TRUNC(515/P7,2)</f>
        <v>34.33</v>
      </c>
      <c r="G7" s="1"/>
      <c r="H7" s="13">
        <v>2009</v>
      </c>
      <c r="I7" s="27" t="str">
        <f>IF(J7&gt;0,"Utilidad Neta del Ejercicio 2009","Pérdida Neta del Ejercicio 2009")</f>
        <v>Utilidad Neta del Ejercicio 2009</v>
      </c>
      <c r="J7" s="29">
        <f>J4-Q37</f>
        <v>45095.86</v>
      </c>
      <c r="K7" s="10"/>
      <c r="L7" s="10"/>
      <c r="M7" s="10"/>
      <c r="N7" s="15">
        <v>16</v>
      </c>
      <c r="O7" s="15">
        <v>10</v>
      </c>
      <c r="P7" s="15">
        <v>15</v>
      </c>
    </row>
    <row r="8" spans="3:16" ht="16.5" thickTop="1" thickBot="1" x14ac:dyDescent="0.3">
      <c r="C8" s="17" t="s">
        <v>8</v>
      </c>
      <c r="D8" s="16">
        <f>PRODUCT(N7*12.5%)</f>
        <v>2</v>
      </c>
      <c r="E8" s="16">
        <f>PRODUCT(O7*10%)</f>
        <v>1</v>
      </c>
      <c r="F8" s="16">
        <f>ROUND(PRODUCT(P7*13.33%),0)</f>
        <v>2</v>
      </c>
      <c r="G8" s="1"/>
      <c r="H8" s="13">
        <v>2010</v>
      </c>
      <c r="I8" s="27" t="str">
        <f>IF(J8&gt;0,"Utilidad Neta del Ejercicio 2010","Pérdida Neta del Ejercicio 2010")</f>
        <v>Utilidad Neta del Ejercicio 2010</v>
      </c>
      <c r="J8" s="29">
        <f>J5+O62-Q57</f>
        <v>44464.389900000009</v>
      </c>
      <c r="K8" s="10"/>
      <c r="L8" s="10"/>
      <c r="N8" s="1"/>
      <c r="O8" s="1"/>
      <c r="P8" s="1"/>
    </row>
    <row r="9" spans="3:16" ht="16.5" thickTop="1" thickBot="1" x14ac:dyDescent="0.3">
      <c r="C9" s="17" t="s">
        <v>11</v>
      </c>
      <c r="D9" s="16">
        <f>PRODUCT(N7*D8)</f>
        <v>32</v>
      </c>
      <c r="E9" s="16">
        <f>PRODUCT(O7*E8)</f>
        <v>10</v>
      </c>
      <c r="F9" s="16">
        <f>PRODUCT(P7*F8)</f>
        <v>30</v>
      </c>
      <c r="G9" s="1"/>
      <c r="H9" s="4"/>
      <c r="N9" s="41" t="s">
        <v>3</v>
      </c>
      <c r="O9" s="41"/>
      <c r="P9" s="41"/>
    </row>
    <row r="10" spans="3:16" ht="16.5" thickTop="1" thickBot="1" x14ac:dyDescent="0.3">
      <c r="C10" s="17" t="s">
        <v>10</v>
      </c>
      <c r="D10" s="19">
        <f>PRODUCT(D5*1.95)</f>
        <v>35100</v>
      </c>
      <c r="E10" s="19">
        <f>PRODUCT(E5*1.65)</f>
        <v>31680</v>
      </c>
      <c r="F10" s="19">
        <f>PRODUCT(F5*1.5)</f>
        <v>25585.199999999997</v>
      </c>
      <c r="G10" s="1"/>
      <c r="H10" s="1"/>
      <c r="N10" s="21" t="str">
        <f>N2</f>
        <v>Mochila</v>
      </c>
      <c r="O10" s="21" t="str">
        <f>O2</f>
        <v>Calculadora</v>
      </c>
      <c r="P10" s="21" t="str">
        <f>P2</f>
        <v>Carpeta</v>
      </c>
    </row>
    <row r="11" spans="3:16" ht="16.5" thickTop="1" thickBot="1" x14ac:dyDescent="0.3">
      <c r="C11" s="17" t="s">
        <v>9</v>
      </c>
      <c r="D11" s="19">
        <f>PRODUCT(N11*40%)</f>
        <v>70.2</v>
      </c>
      <c r="E11" s="19">
        <f>PRODUCT(O11*40%)</f>
        <v>36.205714285714286</v>
      </c>
      <c r="F11" s="19">
        <f>PRODUCT(P11*40%)</f>
        <v>22.7424</v>
      </c>
      <c r="G11" s="4"/>
      <c r="N11" s="23">
        <f>(D10/D6)</f>
        <v>175.5</v>
      </c>
      <c r="O11" s="23">
        <f t="shared" ref="O11:P11" si="2">(E10/E6)</f>
        <v>90.51428571428572</v>
      </c>
      <c r="P11" s="23">
        <f t="shared" si="2"/>
        <v>56.855999999999995</v>
      </c>
    </row>
    <row r="12" spans="3:16" ht="16.5" thickTop="1" thickBot="1" x14ac:dyDescent="0.3">
      <c r="C12" s="17" t="s">
        <v>4</v>
      </c>
      <c r="D12" s="19">
        <f>PRODUCT(D11*D9)</f>
        <v>2246.4</v>
      </c>
      <c r="E12" s="19">
        <f>PRODUCT(E11*E8)</f>
        <v>36.205714285714286</v>
      </c>
      <c r="F12" s="19">
        <f>PRODUCT(F11*F8)</f>
        <v>45.4848</v>
      </c>
      <c r="G12" s="4"/>
      <c r="J12" s="3"/>
      <c r="N12" s="4"/>
      <c r="O12" s="4"/>
      <c r="P12" s="4"/>
    </row>
    <row r="13" spans="3:16" ht="16.5" thickTop="1" thickBot="1" x14ac:dyDescent="0.3">
      <c r="C13" s="17" t="s">
        <v>12</v>
      </c>
      <c r="D13" s="19">
        <f>D10-PRODUCT(D9*D11)+D12</f>
        <v>35100</v>
      </c>
      <c r="E13" s="19">
        <f t="shared" ref="E13:F13" si="3">E10-PRODUCT(E9*E11)+E12</f>
        <v>31354.148571428574</v>
      </c>
      <c r="F13" s="19">
        <f t="shared" si="3"/>
        <v>24948.412799999995</v>
      </c>
      <c r="G13" s="4"/>
      <c r="J13" s="3"/>
      <c r="N13" s="1"/>
      <c r="O13" s="1"/>
      <c r="P13" s="1"/>
    </row>
    <row r="14" spans="3:16" ht="16.5" thickTop="1" thickBot="1" x14ac:dyDescent="0.3">
      <c r="C14" s="17" t="s">
        <v>13</v>
      </c>
      <c r="D14" s="19">
        <f>PRODUCT(D5*5%)</f>
        <v>900</v>
      </c>
      <c r="E14" s="19">
        <f t="shared" ref="E14:F14" si="4">PRODUCT(E5*5%)</f>
        <v>960</v>
      </c>
      <c r="F14" s="19">
        <f t="shared" si="4"/>
        <v>852.84</v>
      </c>
      <c r="G14" s="1"/>
      <c r="N14" s="41" t="s">
        <v>20</v>
      </c>
      <c r="O14" s="41"/>
      <c r="P14" s="41"/>
    </row>
    <row r="15" spans="3:16" ht="16.5" thickTop="1" thickBot="1" x14ac:dyDescent="0.3">
      <c r="C15" s="17" t="s">
        <v>30</v>
      </c>
      <c r="D15" s="19">
        <f>SUM(D5,D14)</f>
        <v>18900</v>
      </c>
      <c r="E15" s="19">
        <f t="shared" ref="E15:F15" si="5">SUM(E5,E14)</f>
        <v>20160</v>
      </c>
      <c r="F15" s="19">
        <f t="shared" si="5"/>
        <v>17909.64</v>
      </c>
      <c r="G15" s="3"/>
      <c r="H15" s="14"/>
      <c r="N15" s="21" t="s">
        <v>23</v>
      </c>
      <c r="O15" s="21" t="s">
        <v>21</v>
      </c>
      <c r="P15" s="21" t="s">
        <v>22</v>
      </c>
    </row>
    <row r="16" spans="3:16" ht="16.5" thickTop="1" thickBot="1" x14ac:dyDescent="0.3">
      <c r="C16" s="17" t="s">
        <v>19</v>
      </c>
      <c r="D16" s="19">
        <f>TRUNC((IMSUB(D15,D18)),2)</f>
        <v>16900</v>
      </c>
      <c r="E16" s="19">
        <f>TRUNC((IMSUB(E15,E18)),2)</f>
        <v>17760</v>
      </c>
      <c r="F16" s="19">
        <f>TRUNC((IMSUB(F15,F18)),2)</f>
        <v>15756.84</v>
      </c>
      <c r="G16" s="3"/>
      <c r="H16" s="14"/>
      <c r="N16" s="15">
        <v>500</v>
      </c>
      <c r="O16" s="15">
        <v>2000</v>
      </c>
      <c r="P16" s="15">
        <v>450</v>
      </c>
    </row>
    <row r="17" spans="3:17" ht="16.5" thickTop="1" thickBot="1" x14ac:dyDescent="0.3">
      <c r="C17" s="17" t="str">
        <f>IF(SUM(D17:F17)&gt;0,"Utilidad Bruta","Pérdida Bruta")</f>
        <v>Utilidad Bruta</v>
      </c>
      <c r="D17" s="19">
        <f>D13-D16</f>
        <v>18200</v>
      </c>
      <c r="E17" s="19">
        <f>E13-E16</f>
        <v>13594.148571428574</v>
      </c>
      <c r="F17" s="19">
        <f>F13-F16</f>
        <v>9191.5727999999945</v>
      </c>
      <c r="G17" s="3"/>
      <c r="H17" s="14"/>
      <c r="N17" s="1"/>
      <c r="O17" s="1"/>
      <c r="P17" s="1"/>
    </row>
    <row r="18" spans="3:17" ht="16.5" thickTop="1" thickBot="1" x14ac:dyDescent="0.3">
      <c r="C18" s="17" t="s">
        <v>26</v>
      </c>
      <c r="D18" s="19">
        <f>(D4-D6)*N3</f>
        <v>2000</v>
      </c>
      <c r="E18" s="19">
        <f>(E4-E6)*O3</f>
        <v>2400</v>
      </c>
      <c r="F18" s="19">
        <f>(F4-F6)*P3</f>
        <v>2152.7999999999997</v>
      </c>
      <c r="N18" s="41" t="s">
        <v>24</v>
      </c>
      <c r="O18" s="41"/>
      <c r="P18" s="41"/>
      <c r="Q18" s="25" t="s">
        <v>25</v>
      </c>
    </row>
    <row r="19" spans="3:17" ht="15.75" thickTop="1" x14ac:dyDescent="0.25">
      <c r="C19" s="1"/>
      <c r="D19" s="4"/>
      <c r="E19" s="4"/>
      <c r="F19" s="4"/>
      <c r="N19" s="21" t="s">
        <v>23</v>
      </c>
      <c r="O19" s="21" t="s">
        <v>21</v>
      </c>
      <c r="P19" s="21" t="s">
        <v>22</v>
      </c>
      <c r="Q19" s="26">
        <f>SUM(N16,O16,P16,N20,O20,P20)</f>
        <v>6950</v>
      </c>
    </row>
    <row r="20" spans="3:17" x14ac:dyDescent="0.25">
      <c r="C20" s="1"/>
      <c r="D20" s="4"/>
      <c r="E20" s="4"/>
      <c r="F20" s="4"/>
      <c r="N20" s="15">
        <v>800</v>
      </c>
      <c r="O20" s="15">
        <v>2500</v>
      </c>
      <c r="P20" s="15">
        <v>700</v>
      </c>
    </row>
    <row r="21" spans="3:17" x14ac:dyDescent="0.25">
      <c r="N21" s="1"/>
      <c r="O21" s="1"/>
      <c r="P21" s="1"/>
    </row>
    <row r="22" spans="3:17" x14ac:dyDescent="0.25">
      <c r="C22" s="44" t="s">
        <v>66</v>
      </c>
      <c r="D22" s="44"/>
      <c r="E22" s="44"/>
      <c r="F22" s="44"/>
      <c r="N22" s="1"/>
      <c r="O22" s="1"/>
      <c r="P22" s="1"/>
    </row>
    <row r="23" spans="3:17" ht="15.75" thickBot="1" x14ac:dyDescent="0.3">
      <c r="C23" s="18" t="s">
        <v>0</v>
      </c>
      <c r="D23" s="18" t="s">
        <v>16</v>
      </c>
      <c r="E23" s="18" t="s">
        <v>17</v>
      </c>
      <c r="F23" s="18" t="s">
        <v>18</v>
      </c>
    </row>
    <row r="24" spans="3:17" ht="16.5" thickTop="1" thickBot="1" x14ac:dyDescent="0.3">
      <c r="C24" s="20" t="s">
        <v>14</v>
      </c>
      <c r="D24" s="16">
        <f>D4-D6</f>
        <v>25</v>
      </c>
      <c r="E24" s="16">
        <f t="shared" ref="E24:F24" si="6">E4-E6</f>
        <v>50</v>
      </c>
      <c r="F24" s="16">
        <f t="shared" si="6"/>
        <v>65</v>
      </c>
      <c r="G24" s="3"/>
      <c r="H24" s="3"/>
      <c r="I24" s="3"/>
    </row>
    <row r="25" spans="3:17" ht="16.5" thickTop="1" thickBot="1" x14ac:dyDescent="0.3">
      <c r="C25" s="17" t="s">
        <v>5</v>
      </c>
      <c r="D25" s="16">
        <f>D4</f>
        <v>225</v>
      </c>
      <c r="E25" s="16">
        <f t="shared" ref="E25:F25" si="7">E4</f>
        <v>400</v>
      </c>
      <c r="F25" s="16">
        <f t="shared" si="7"/>
        <v>515</v>
      </c>
      <c r="I25" s="3"/>
      <c r="N25" s="41" t="s">
        <v>15</v>
      </c>
      <c r="O25" s="41"/>
      <c r="P25" s="41"/>
    </row>
    <row r="26" spans="3:17" ht="16.5" thickTop="1" thickBot="1" x14ac:dyDescent="0.3">
      <c r="C26" s="17" t="s">
        <v>2</v>
      </c>
      <c r="D26" s="19">
        <f>SUM(D5+D5*10%)</f>
        <v>19800</v>
      </c>
      <c r="E26" s="19">
        <f>SUM(E5+E5*15%)</f>
        <v>22080</v>
      </c>
      <c r="F26" s="19">
        <f>SUM(F5-F5*5%)</f>
        <v>16203.96</v>
      </c>
      <c r="N26" s="21" t="str">
        <f>N2</f>
        <v>Mochila</v>
      </c>
      <c r="O26" s="21" t="str">
        <f t="shared" ref="O26:P26" si="8">O2</f>
        <v>Calculadora</v>
      </c>
      <c r="P26" s="21" t="str">
        <f t="shared" si="8"/>
        <v>Carpeta</v>
      </c>
    </row>
    <row r="27" spans="3:17" ht="16.5" thickTop="1" thickBot="1" x14ac:dyDescent="0.3">
      <c r="C27" s="17" t="s">
        <v>6</v>
      </c>
      <c r="D27" s="16">
        <f>SUM(D6-D6*10%)</f>
        <v>180</v>
      </c>
      <c r="E27" s="16">
        <f>SUM(E6-E6*8%)</f>
        <v>322</v>
      </c>
      <c r="F27" s="16">
        <f>SUM(F6+F6*16%)</f>
        <v>522</v>
      </c>
      <c r="N27" s="23">
        <f>N3+(N3*10%)</f>
        <v>88</v>
      </c>
      <c r="O27" s="23">
        <f>O3+(O3*15%)</f>
        <v>55.2</v>
      </c>
      <c r="P27" s="23">
        <f>P3-(P3*50%)</f>
        <v>16.559999999999999</v>
      </c>
    </row>
    <row r="28" spans="3:17" ht="16.5" thickTop="1" thickBot="1" x14ac:dyDescent="0.3">
      <c r="C28" s="17" t="s">
        <v>7</v>
      </c>
      <c r="D28" s="16">
        <f>ROUND(D7,0)</f>
        <v>14</v>
      </c>
      <c r="E28" s="16">
        <f>ROUND(E7,0)</f>
        <v>40</v>
      </c>
      <c r="F28" s="16">
        <f>ROUND(F7,0)</f>
        <v>34</v>
      </c>
      <c r="Q28" s="1"/>
    </row>
    <row r="29" spans="3:17" ht="16.5" thickTop="1" thickBot="1" x14ac:dyDescent="0.3">
      <c r="C29" s="17" t="s">
        <v>8</v>
      </c>
      <c r="D29" s="16">
        <f>D8</f>
        <v>2</v>
      </c>
      <c r="E29" s="16">
        <f t="shared" ref="E29:F29" si="9">E8</f>
        <v>1</v>
      </c>
      <c r="F29" s="16">
        <f t="shared" si="9"/>
        <v>2</v>
      </c>
      <c r="H29" s="3"/>
      <c r="I29" s="3"/>
      <c r="N29" s="41" t="s">
        <v>3</v>
      </c>
      <c r="O29" s="41"/>
      <c r="P29" s="41"/>
    </row>
    <row r="30" spans="3:17" ht="16.5" thickTop="1" thickBot="1" x14ac:dyDescent="0.3">
      <c r="C30" s="17" t="s">
        <v>11</v>
      </c>
      <c r="D30" s="16">
        <f>D9</f>
        <v>32</v>
      </c>
      <c r="E30" s="16">
        <f>E9</f>
        <v>10</v>
      </c>
      <c r="F30" s="16">
        <f>F9</f>
        <v>30</v>
      </c>
      <c r="H30" t="s">
        <v>29</v>
      </c>
      <c r="N30" s="21" t="str">
        <f>N10</f>
        <v>Mochila</v>
      </c>
      <c r="O30" s="21" t="str">
        <f t="shared" ref="O30:P30" si="10">O10</f>
        <v>Calculadora</v>
      </c>
      <c r="P30" s="21" t="str">
        <f t="shared" si="10"/>
        <v>Carpeta</v>
      </c>
    </row>
    <row r="31" spans="3:17" ht="16.5" thickTop="1" thickBot="1" x14ac:dyDescent="0.3">
      <c r="C31" s="17" t="s">
        <v>10</v>
      </c>
      <c r="D31" s="19">
        <f>PRODUCT(D26*1.95)</f>
        <v>38610</v>
      </c>
      <c r="E31" s="19">
        <f>PRODUCT(E26*1.65)</f>
        <v>36432</v>
      </c>
      <c r="F31" s="19">
        <f>PRODUCT(F26*1.5)</f>
        <v>24305.94</v>
      </c>
      <c r="N31" s="23">
        <f>D31/(D27)</f>
        <v>214.5</v>
      </c>
      <c r="O31" s="23">
        <f>E31/(E27)</f>
        <v>113.14285714285714</v>
      </c>
      <c r="P31" s="23">
        <f t="shared" ref="P31" si="11">F31/(F27)</f>
        <v>46.563103448275861</v>
      </c>
    </row>
    <row r="32" spans="3:17" ht="16.5" thickTop="1" thickBot="1" x14ac:dyDescent="0.3">
      <c r="C32" s="17" t="s">
        <v>9</v>
      </c>
      <c r="D32" s="19">
        <f>N31*40%</f>
        <v>85.800000000000011</v>
      </c>
      <c r="E32" s="19">
        <f t="shared" ref="E32:F32" si="12">O31*40%</f>
        <v>45.25714285714286</v>
      </c>
      <c r="F32" s="19">
        <f t="shared" si="12"/>
        <v>18.625241379310346</v>
      </c>
      <c r="N32" s="1"/>
      <c r="O32" s="1"/>
      <c r="P32" s="1"/>
    </row>
    <row r="33" spans="3:17" ht="16.5" thickTop="1" thickBot="1" x14ac:dyDescent="0.3">
      <c r="C33" s="17" t="s">
        <v>4</v>
      </c>
      <c r="D33" s="19">
        <f>D32*D30</f>
        <v>2745.6000000000004</v>
      </c>
      <c r="E33" s="19">
        <f t="shared" ref="E33" si="13">E32*E30</f>
        <v>452.57142857142861</v>
      </c>
      <c r="F33" s="19">
        <f>F32*F30</f>
        <v>558.75724137931036</v>
      </c>
      <c r="G33" s="3"/>
      <c r="N33" s="41" t="str">
        <f>N14</f>
        <v>Gastos de Venta</v>
      </c>
      <c r="O33" s="41"/>
      <c r="P33" s="41"/>
    </row>
    <row r="34" spans="3:17" ht="16.5" thickTop="1" thickBot="1" x14ac:dyDescent="0.3">
      <c r="C34" s="17" t="s">
        <v>12</v>
      </c>
      <c r="D34" s="19">
        <f>D31-(D30*D32)+D33</f>
        <v>38610</v>
      </c>
      <c r="E34" s="19">
        <f t="shared" ref="E34:F34" si="14">E31-(E30*E32)+E33</f>
        <v>36432</v>
      </c>
      <c r="F34" s="19">
        <f t="shared" si="14"/>
        <v>24305.94</v>
      </c>
      <c r="N34" s="21" t="str">
        <f>N15</f>
        <v>Telefono</v>
      </c>
      <c r="O34" s="21" t="str">
        <f t="shared" ref="O34:P35" si="15">O15</f>
        <v>Sueldos</v>
      </c>
      <c r="P34" s="21" t="str">
        <f t="shared" si="15"/>
        <v>Luz</v>
      </c>
    </row>
    <row r="35" spans="3:17" ht="16.5" thickTop="1" thickBot="1" x14ac:dyDescent="0.3">
      <c r="C35" s="17" t="s">
        <v>13</v>
      </c>
      <c r="D35" s="19">
        <f>D26*5%</f>
        <v>990</v>
      </c>
      <c r="E35" s="19">
        <f t="shared" ref="E35:F35" si="16">E26*5%</f>
        <v>1104</v>
      </c>
      <c r="F35" s="19">
        <f t="shared" si="16"/>
        <v>810.19799999999998</v>
      </c>
      <c r="N35" s="15">
        <f>N16</f>
        <v>500</v>
      </c>
      <c r="O35" s="15">
        <f t="shared" si="15"/>
        <v>2000</v>
      </c>
      <c r="P35" s="15">
        <f t="shared" si="15"/>
        <v>450</v>
      </c>
    </row>
    <row r="36" spans="3:17" ht="16.5" thickTop="1" thickBot="1" x14ac:dyDescent="0.3">
      <c r="C36" s="17" t="s">
        <v>30</v>
      </c>
      <c r="D36" s="19">
        <f>SUM(D26,D35)</f>
        <v>20790</v>
      </c>
      <c r="E36" s="19">
        <f t="shared" ref="E36:F36" si="17">SUM(E26,E35)</f>
        <v>23184</v>
      </c>
      <c r="F36" s="19">
        <f t="shared" si="17"/>
        <v>17014.157999999999</v>
      </c>
      <c r="N36" s="1"/>
      <c r="O36" s="1"/>
      <c r="P36" s="1"/>
      <c r="Q36" s="25" t="str">
        <f>Q18</f>
        <v>Gastos de Operación</v>
      </c>
    </row>
    <row r="37" spans="3:17" ht="16.5" thickTop="1" thickBot="1" x14ac:dyDescent="0.3">
      <c r="C37" s="17" t="s">
        <v>19</v>
      </c>
      <c r="D37" s="19">
        <f>G24+D36-D39</f>
        <v>14630</v>
      </c>
      <c r="E37" s="19">
        <f>H24+E36-E39</f>
        <v>16118.4</v>
      </c>
      <c r="F37" s="19">
        <f t="shared" ref="F37" si="18">I24+F36-F39</f>
        <v>16053.678</v>
      </c>
      <c r="N37" s="41" t="str">
        <f>N18</f>
        <v>Gastos de Admon.</v>
      </c>
      <c r="O37" s="41"/>
      <c r="P37" s="41"/>
      <c r="Q37" s="26">
        <f>N35+O35+P35+N39+O39+P39</f>
        <v>7450</v>
      </c>
    </row>
    <row r="38" spans="3:17" ht="16.5" thickTop="1" thickBot="1" x14ac:dyDescent="0.3">
      <c r="C38" s="17" t="str">
        <f>IF(SUM(D38:F38)&gt;0,"Utilidad Bruta","Pérdida Bruta")</f>
        <v>Utilidad Bruta</v>
      </c>
      <c r="D38" s="19">
        <f>TRUNC(IMSUB(D34,D37),2)</f>
        <v>23980</v>
      </c>
      <c r="E38" s="19">
        <f>TRUNC(IMSUB(E34,E37),2)</f>
        <v>20313.599999999999</v>
      </c>
      <c r="F38" s="19">
        <f>TRUNC(IMSUB(F34,F37),2)</f>
        <v>8252.26</v>
      </c>
      <c r="N38" s="21" t="str">
        <f t="shared" ref="N38:P39" si="19">N19</f>
        <v>Telefono</v>
      </c>
      <c r="O38" s="21" t="str">
        <f t="shared" si="19"/>
        <v>Sueldos</v>
      </c>
      <c r="P38" s="21" t="str">
        <f t="shared" si="19"/>
        <v>Luz</v>
      </c>
    </row>
    <row r="39" spans="3:17" ht="16.5" thickTop="1" thickBot="1" x14ac:dyDescent="0.3">
      <c r="C39" s="17" t="s">
        <v>26</v>
      </c>
      <c r="D39" s="19">
        <f>((D25+D24)-D27)*N27</f>
        <v>6160</v>
      </c>
      <c r="E39" s="19">
        <f>((E25+E24)-E27)*O27</f>
        <v>7065.6</v>
      </c>
      <c r="F39" s="19">
        <f>((F25+F24)-F27)*P27</f>
        <v>960.4799999999999</v>
      </c>
      <c r="N39" s="15">
        <f t="shared" si="19"/>
        <v>800</v>
      </c>
      <c r="O39" s="15">
        <v>3000</v>
      </c>
      <c r="P39" s="15">
        <f t="shared" si="19"/>
        <v>700</v>
      </c>
    </row>
    <row r="40" spans="3:17" ht="15.75" thickTop="1" x14ac:dyDescent="0.25"/>
    <row r="44" spans="3:17" x14ac:dyDescent="0.25">
      <c r="C44" s="44" t="s">
        <v>67</v>
      </c>
      <c r="D44" s="44"/>
      <c r="E44" s="44"/>
      <c r="F44" s="44"/>
      <c r="N44" s="41" t="s">
        <v>3</v>
      </c>
      <c r="O44" s="41"/>
      <c r="P44" s="41"/>
    </row>
    <row r="45" spans="3:17" ht="15.75" thickBot="1" x14ac:dyDescent="0.3">
      <c r="C45" s="18" t="s">
        <v>0</v>
      </c>
      <c r="D45" s="18" t="s">
        <v>16</v>
      </c>
      <c r="E45" s="18" t="s">
        <v>17</v>
      </c>
      <c r="F45" s="18" t="s">
        <v>18</v>
      </c>
      <c r="G45" s="5"/>
      <c r="N45" s="21" t="str">
        <f>N30</f>
        <v>Mochila</v>
      </c>
      <c r="O45" s="21" t="str">
        <f>O30</f>
        <v>Calculadora</v>
      </c>
      <c r="P45" s="21" t="str">
        <f>P30</f>
        <v>Carpeta</v>
      </c>
    </row>
    <row r="46" spans="3:17" ht="16.5" thickTop="1" thickBot="1" x14ac:dyDescent="0.3">
      <c r="C46" s="20" t="s">
        <v>14</v>
      </c>
      <c r="D46" s="16">
        <f>IMSUM(D24,D25)-D27</f>
        <v>70</v>
      </c>
      <c r="E46" s="16">
        <f t="shared" ref="E46:F46" si="20">IMSUM(E24,E25)-E27</f>
        <v>128</v>
      </c>
      <c r="F46" s="16">
        <f t="shared" si="20"/>
        <v>58</v>
      </c>
      <c r="H46" s="3"/>
      <c r="I46" s="3"/>
      <c r="N46" s="24">
        <f>D53/D49</f>
        <v>143.96949152542373</v>
      </c>
      <c r="O46" s="24">
        <f t="shared" ref="O46:P46" si="21">E53/E49</f>
        <v>79.350000000000009</v>
      </c>
      <c r="P46" s="24">
        <f t="shared" si="21"/>
        <v>40.297801047120416</v>
      </c>
    </row>
    <row r="47" spans="3:17" ht="16.5" thickTop="1" thickBot="1" x14ac:dyDescent="0.3">
      <c r="C47" s="17" t="s">
        <v>5</v>
      </c>
      <c r="D47" s="16">
        <f>D25</f>
        <v>225</v>
      </c>
      <c r="E47" s="16">
        <f t="shared" ref="E47:F47" si="22">E25</f>
        <v>400</v>
      </c>
      <c r="F47" s="16">
        <f t="shared" si="22"/>
        <v>515</v>
      </c>
    </row>
    <row r="48" spans="3:17" ht="16.5" thickTop="1" thickBot="1" x14ac:dyDescent="0.3">
      <c r="C48" s="17" t="s">
        <v>2</v>
      </c>
      <c r="D48" s="19">
        <f>SUM(D26+D26*10%)</f>
        <v>21780</v>
      </c>
      <c r="E48" s="19">
        <f>SUM(E26+E26*15%)</f>
        <v>25392</v>
      </c>
      <c r="F48" s="19">
        <f>SUM(F26-F26*5%)</f>
        <v>15393.761999999999</v>
      </c>
      <c r="N48" s="41" t="s">
        <v>34</v>
      </c>
      <c r="O48" s="41"/>
      <c r="P48" s="41"/>
    </row>
    <row r="49" spans="3:18" ht="16.5" thickTop="1" thickBot="1" x14ac:dyDescent="0.3">
      <c r="C49" s="17" t="s">
        <v>6</v>
      </c>
      <c r="D49" s="16">
        <f>SUM(D47,D46)</f>
        <v>295</v>
      </c>
      <c r="E49" s="16">
        <f t="shared" ref="E49:F49" si="23">SUM(E47,E46)</f>
        <v>528</v>
      </c>
      <c r="F49" s="16">
        <f t="shared" si="23"/>
        <v>573</v>
      </c>
      <c r="N49" s="21" t="str">
        <f>N30</f>
        <v>Mochila</v>
      </c>
      <c r="O49" s="21" t="str">
        <f t="shared" ref="O49:P49" si="24">O30</f>
        <v>Calculadora</v>
      </c>
      <c r="P49" s="21" t="str">
        <f t="shared" si="24"/>
        <v>Carpeta</v>
      </c>
    </row>
    <row r="50" spans="3:18" ht="16.5" thickTop="1" thickBot="1" x14ac:dyDescent="0.3">
      <c r="C50" s="17" t="s">
        <v>7</v>
      </c>
      <c r="D50" s="16">
        <f>D28</f>
        <v>14</v>
      </c>
      <c r="E50" s="16">
        <f t="shared" ref="E50:F50" si="25">E28</f>
        <v>40</v>
      </c>
      <c r="F50" s="16">
        <f t="shared" si="25"/>
        <v>34</v>
      </c>
      <c r="N50" s="24">
        <f>N27+N27*10%</f>
        <v>96.8</v>
      </c>
      <c r="O50" s="24">
        <f>O27+O27*15%</f>
        <v>63.480000000000004</v>
      </c>
      <c r="P50" s="24">
        <f>P27-P27*50%</f>
        <v>8.2799999999999994</v>
      </c>
    </row>
    <row r="51" spans="3:18" ht="16.5" thickTop="1" thickBot="1" x14ac:dyDescent="0.3">
      <c r="C51" s="17" t="s">
        <v>8</v>
      </c>
      <c r="D51" s="16">
        <f>D29</f>
        <v>2</v>
      </c>
      <c r="E51" s="16">
        <f t="shared" ref="E51:F51" si="26">E29</f>
        <v>1</v>
      </c>
      <c r="F51" s="16">
        <f t="shared" si="26"/>
        <v>2</v>
      </c>
    </row>
    <row r="52" spans="3:18" ht="16.5" thickTop="1" thickBot="1" x14ac:dyDescent="0.3">
      <c r="C52" s="17" t="s">
        <v>11</v>
      </c>
      <c r="D52" s="16">
        <f>D30</f>
        <v>32</v>
      </c>
      <c r="E52" s="16">
        <f t="shared" ref="E52:F52" si="27">E30</f>
        <v>10</v>
      </c>
      <c r="F52" s="16">
        <f t="shared" si="27"/>
        <v>30</v>
      </c>
      <c r="N52" s="41" t="s">
        <v>20</v>
      </c>
      <c r="O52" s="41"/>
      <c r="P52" s="41"/>
    </row>
    <row r="53" spans="3:18" ht="16.5" thickTop="1" thickBot="1" x14ac:dyDescent="0.3">
      <c r="C53" s="17" t="s">
        <v>10</v>
      </c>
      <c r="D53" s="19">
        <f>TRUNC((IMPRODUCT(D48,1.95)),2)</f>
        <v>42471</v>
      </c>
      <c r="E53" s="19">
        <f>TRUNC((IMPRODUCT(E48*1.65)),2)</f>
        <v>41896.800000000003</v>
      </c>
      <c r="F53" s="19">
        <f>TRUNC((IMPRODUCT(F48*1.5)),2)</f>
        <v>23090.639999999999</v>
      </c>
      <c r="N53" s="21" t="str">
        <f>N34</f>
        <v>Telefono</v>
      </c>
      <c r="O53" s="21" t="str">
        <f t="shared" ref="O53:P53" si="28">O34</f>
        <v>Sueldos</v>
      </c>
      <c r="P53" s="21" t="str">
        <f t="shared" si="28"/>
        <v>Luz</v>
      </c>
    </row>
    <row r="54" spans="3:18" ht="16.5" thickTop="1" thickBot="1" x14ac:dyDescent="0.3">
      <c r="C54" s="17" t="s">
        <v>9</v>
      </c>
      <c r="D54" s="19">
        <f>N46*40%</f>
        <v>57.587796610169498</v>
      </c>
      <c r="E54" s="19">
        <f t="shared" ref="E54:F54" si="29">O46*40%</f>
        <v>31.740000000000006</v>
      </c>
      <c r="F54" s="19">
        <f t="shared" si="29"/>
        <v>16.119120418848166</v>
      </c>
      <c r="N54" s="15">
        <v>700</v>
      </c>
      <c r="O54" s="15">
        <v>2500</v>
      </c>
      <c r="P54" s="15">
        <v>600</v>
      </c>
    </row>
    <row r="55" spans="3:18" ht="16.5" thickTop="1" thickBot="1" x14ac:dyDescent="0.3">
      <c r="C55" s="17" t="s">
        <v>4</v>
      </c>
      <c r="D55" s="19">
        <f>D54*D52</f>
        <v>1842.8094915254239</v>
      </c>
      <c r="E55" s="19">
        <f t="shared" ref="E55:F55" si="30">E54*E52</f>
        <v>317.40000000000003</v>
      </c>
      <c r="F55" s="19">
        <f t="shared" si="30"/>
        <v>483.57361256544499</v>
      </c>
      <c r="N55" s="6"/>
      <c r="O55" s="6"/>
      <c r="P55" s="6"/>
    </row>
    <row r="56" spans="3:18" ht="16.5" thickTop="1" thickBot="1" x14ac:dyDescent="0.3">
      <c r="C56" s="17" t="s">
        <v>12</v>
      </c>
      <c r="D56" s="19">
        <f>D53-PRODUCT(D52*D54)+D55</f>
        <v>42471</v>
      </c>
      <c r="E56" s="19">
        <f t="shared" ref="E56:F56" si="31">E53-PRODUCT(E52*E54)+E55</f>
        <v>41896.800000000003</v>
      </c>
      <c r="F56" s="19">
        <f t="shared" si="31"/>
        <v>23090.639999999999</v>
      </c>
      <c r="N56" s="41" t="s">
        <v>24</v>
      </c>
      <c r="O56" s="41"/>
      <c r="P56" s="41"/>
      <c r="Q56" s="25" t="s">
        <v>25</v>
      </c>
      <c r="R56" s="12"/>
    </row>
    <row r="57" spans="3:18" ht="16.5" thickTop="1" thickBot="1" x14ac:dyDescent="0.3">
      <c r="C57" s="17" t="s">
        <v>13</v>
      </c>
      <c r="D57" s="19">
        <f>D48*5%</f>
        <v>1089</v>
      </c>
      <c r="E57" s="19">
        <f t="shared" ref="E57:F57" si="32">E48*5%</f>
        <v>1269.6000000000001</v>
      </c>
      <c r="F57" s="19">
        <f t="shared" si="32"/>
        <v>769.68809999999996</v>
      </c>
      <c r="N57" s="21" t="str">
        <f>N38</f>
        <v>Telefono</v>
      </c>
      <c r="O57" s="21" t="str">
        <f t="shared" ref="O57:P57" si="33">O38</f>
        <v>Sueldos</v>
      </c>
      <c r="P57" s="21" t="str">
        <f t="shared" si="33"/>
        <v>Luz</v>
      </c>
      <c r="Q57" s="26">
        <f>SUM(N54,O54,P54,N58,O58,P58)</f>
        <v>9300</v>
      </c>
      <c r="R57" s="11"/>
    </row>
    <row r="58" spans="3:18" ht="16.5" thickTop="1" thickBot="1" x14ac:dyDescent="0.3">
      <c r="C58" s="17" t="s">
        <v>31</v>
      </c>
      <c r="D58" s="19">
        <f>D48+D57</f>
        <v>22869</v>
      </c>
      <c r="E58" s="19">
        <f>E48+E57</f>
        <v>26661.599999999999</v>
      </c>
      <c r="F58" s="19">
        <f t="shared" ref="F58" si="34">F48+F57</f>
        <v>16163.450099999998</v>
      </c>
      <c r="N58" s="15">
        <v>1000</v>
      </c>
      <c r="O58" s="15">
        <v>3500</v>
      </c>
      <c r="P58" s="15">
        <v>1000</v>
      </c>
    </row>
    <row r="59" spans="3:18" ht="16.5" thickTop="1" thickBot="1" x14ac:dyDescent="0.3">
      <c r="C59" s="17" t="s">
        <v>32</v>
      </c>
      <c r="D59" s="19">
        <f>G46+D58</f>
        <v>22869</v>
      </c>
      <c r="E59" s="19">
        <f>H46+E58</f>
        <v>26661.599999999999</v>
      </c>
      <c r="F59" s="19">
        <f>I46+F58</f>
        <v>16163.450099999998</v>
      </c>
      <c r="I59" s="3"/>
      <c r="N59" s="6"/>
      <c r="O59" s="6"/>
      <c r="P59" s="6"/>
    </row>
    <row r="60" spans="3:18" ht="16.5" thickTop="1" thickBot="1" x14ac:dyDescent="0.3">
      <c r="C60" s="17" t="str">
        <f>IF(SUM(D60:F60)&gt;0,"Utilidad Bruta","Pérdida Bruta")</f>
        <v>Utilidad Bruta</v>
      </c>
      <c r="D60" s="19">
        <f>D56-D59</f>
        <v>19602</v>
      </c>
      <c r="E60" s="19">
        <f t="shared" ref="E60:F60" si="35">E56-E59</f>
        <v>15235.200000000004</v>
      </c>
      <c r="F60" s="19">
        <f t="shared" si="35"/>
        <v>6927.1899000000012</v>
      </c>
      <c r="N60" s="41" t="s">
        <v>35</v>
      </c>
      <c r="O60" s="41"/>
      <c r="P60" s="41"/>
    </row>
    <row r="61" spans="3:18" ht="16.5" thickTop="1" thickBot="1" x14ac:dyDescent="0.3">
      <c r="C61" s="17" t="s">
        <v>26</v>
      </c>
      <c r="D61" s="19">
        <f>((D47+D46)-D49)*N46</f>
        <v>0</v>
      </c>
      <c r="E61" s="19">
        <f>((E47+E46)-E49)*O46</f>
        <v>0</v>
      </c>
      <c r="F61" s="19">
        <f>((F47+F46)-F49)*P46</f>
        <v>0</v>
      </c>
      <c r="N61" s="9"/>
      <c r="O61" s="22" t="s">
        <v>36</v>
      </c>
      <c r="P61" s="9"/>
    </row>
    <row r="62" spans="3:18" ht="15.75" thickTop="1" x14ac:dyDescent="0.25">
      <c r="O62" s="15">
        <v>12000</v>
      </c>
    </row>
  </sheetData>
  <sortState ref="H4:J8">
    <sortCondition ref="I3"/>
  </sortState>
  <mergeCells count="18">
    <mergeCell ref="C1:F1"/>
    <mergeCell ref="C2:F2"/>
    <mergeCell ref="C22:F22"/>
    <mergeCell ref="C44:F44"/>
    <mergeCell ref="N44:P44"/>
    <mergeCell ref="N37:P37"/>
    <mergeCell ref="N33:P33"/>
    <mergeCell ref="N25:P25"/>
    <mergeCell ref="N29:P29"/>
    <mergeCell ref="N1:P1"/>
    <mergeCell ref="N9:P9"/>
    <mergeCell ref="N14:P14"/>
    <mergeCell ref="N18:P18"/>
    <mergeCell ref="N5:P5"/>
    <mergeCell ref="N48:P48"/>
    <mergeCell ref="N56:P56"/>
    <mergeCell ref="N52:P52"/>
    <mergeCell ref="N60:P60"/>
  </mergeCells>
  <conditionalFormatting sqref="I4">
    <cfRule type="containsText" dxfId="34" priority="23" operator="containsText" text="Pérdida Neta del Ejercicio">
      <formula>NOT(ISERROR(SEARCH("Pérdida Neta del Ejercicio",I4)))</formula>
    </cfRule>
    <cfRule type="containsText" dxfId="33" priority="24" operator="containsText" text="Utilidad Neta del Ejercicio">
      <formula>NOT(ISERROR(SEARCH("Utilidad Neta del Ejercicio",I4)))</formula>
    </cfRule>
  </conditionalFormatting>
  <conditionalFormatting sqref="I3:I8">
    <cfRule type="containsText" dxfId="32" priority="19" operator="containsText" text="Pérdida Bruta del Ejercicio">
      <formula>NOT(ISERROR(SEARCH("Pérdida Bruta del Ejercicio",I3)))</formula>
    </cfRule>
    <cfRule type="containsText" dxfId="31" priority="20" operator="containsText" text="Utilidad Bruta del Ejercicio">
      <formula>NOT(ISERROR(SEARCH("Utilidad Bruta del Ejercicio",I3)))</formula>
    </cfRule>
    <cfRule type="containsText" dxfId="30" priority="21" operator="containsText" text="Pérdida Bruta del Ejercico">
      <formula>NOT(ISERROR(SEARCH("Pérdida Bruta del Ejercico",I3)))</formula>
    </cfRule>
    <cfRule type="containsText" dxfId="29" priority="22" operator="containsText" text="Utilidad Bruta del Ejercico">
      <formula>NOT(ISERROR(SEARCH("Utilidad Bruta del Ejercico",I3)))</formula>
    </cfRule>
  </conditionalFormatting>
  <conditionalFormatting sqref="D17:F17">
    <cfRule type="cellIs" dxfId="28" priority="18" operator="greaterThan">
      <formula>0</formula>
    </cfRule>
  </conditionalFormatting>
  <conditionalFormatting sqref="I5:I6">
    <cfRule type="containsText" dxfId="27" priority="17" operator="containsText" text="Utilidad Bruta del Ejercicio">
      <formula>NOT(ISERROR(SEARCH("Utilidad Bruta del Ejercicio",I5)))</formula>
    </cfRule>
  </conditionalFormatting>
  <conditionalFormatting sqref="I6">
    <cfRule type="containsText" dxfId="26" priority="13" operator="containsText" text="Pérdida Neta del Ejercicio">
      <formula>NOT(ISERROR(SEARCH("Pérdida Neta del Ejercicio",I6)))</formula>
    </cfRule>
    <cfRule type="containsText" dxfId="25" priority="14" operator="containsText" text="Pérdida Bruta del Ejercicio">
      <formula>NOT(ISERROR(SEARCH("Pérdida Bruta del Ejercicio",I6)))</formula>
    </cfRule>
    <cfRule type="containsText" dxfId="24" priority="16" operator="containsText" text="Utilidad Neta del Ejercicio">
      <formula>NOT(ISERROR(SEARCH("Utilidad Neta del Ejercicio",I6)))</formula>
    </cfRule>
  </conditionalFormatting>
  <conditionalFormatting sqref="I5">
    <cfRule type="containsText" dxfId="23" priority="15" operator="containsText" text="Pérdida Bruta del Ejercicio">
      <formula>NOT(ISERROR(SEARCH("Pérdida Bruta del Ejercicio",I5)))</formula>
    </cfRule>
  </conditionalFormatting>
  <conditionalFormatting sqref="I7:I8">
    <cfRule type="containsText" dxfId="22" priority="9" operator="containsText" text="Pérdida Neta del Ejercicio">
      <formula>NOT(ISERROR(SEARCH("Pérdida Neta del Ejercicio",I7)))</formula>
    </cfRule>
    <cfRule type="containsText" dxfId="21" priority="10" operator="containsText" text="Utilidad Neta del Ejercicio">
      <formula>NOT(ISERROR(SEARCH("Utilidad Neta del Ejercicio",I7)))</formula>
    </cfRule>
    <cfRule type="containsText" dxfId="20" priority="11" operator="containsText" text="Pérdida Bruta del Ejercicio">
      <formula>NOT(ISERROR(SEARCH("Pérdida Bruta del Ejercicio",I7)))</formula>
    </cfRule>
    <cfRule type="containsText" dxfId="19" priority="12" operator="containsText" text="Utilidad Bruta del Ejercicio">
      <formula>NOT(ISERROR(SEARCH("Utilidad Bruta del Ejercicio",I7)))</formula>
    </cfRule>
  </conditionalFormatting>
  <conditionalFormatting sqref="M7 J3 K7:L8">
    <cfRule type="cellIs" dxfId="18" priority="7" operator="lessThan">
      <formula>0</formula>
    </cfRule>
    <cfRule type="cellIs" dxfId="17" priority="8" operator="greaterThan">
      <formula>0</formula>
    </cfRule>
  </conditionalFormatting>
  <conditionalFormatting sqref="J3:J8">
    <cfRule type="cellIs" dxfId="16" priority="1" operator="lessThan">
      <formula>0.01</formula>
    </cfRule>
    <cfRule type="cellIs" dxfId="15" priority="2" operator="greaterThan">
      <formula>0</formula>
    </cfRule>
    <cfRule type="cellIs" dxfId="14" priority="5" operator="lessThan">
      <formula>0</formula>
    </cfRule>
    <cfRule type="cellIs" dxfId="13" priority="6" operator="greaterThan">
      <formula>0</formula>
    </cfRule>
  </conditionalFormatting>
  <conditionalFormatting sqref="D17:F17 D38:F38 D60:F60">
    <cfRule type="cellIs" dxfId="12" priority="3" operator="lessThan">
      <formula>0.01</formula>
    </cfRule>
    <cfRule type="cellIs" dxfId="11" priority="4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0:G22"/>
  <sheetViews>
    <sheetView showGridLines="0" workbookViewId="0">
      <selection activeCell="C12" sqref="C12"/>
    </sheetView>
  </sheetViews>
  <sheetFormatPr baseColWidth="10" defaultRowHeight="15" x14ac:dyDescent="0.25"/>
  <cols>
    <col min="3" max="3" width="34.28515625" customWidth="1"/>
    <col min="4" max="4" width="17.42578125" customWidth="1"/>
    <col min="5" max="5" width="73.85546875" customWidth="1"/>
    <col min="6" max="6" width="15.7109375" customWidth="1"/>
    <col min="7" max="7" width="58" customWidth="1"/>
    <col min="8" max="8" width="13.5703125" customWidth="1"/>
  </cols>
  <sheetData>
    <row r="10" spans="1:7" x14ac:dyDescent="0.25">
      <c r="E10" s="7"/>
    </row>
    <row r="11" spans="1:7" x14ac:dyDescent="0.25">
      <c r="B11" s="30" t="s">
        <v>33</v>
      </c>
      <c r="C11" s="30" t="s">
        <v>41</v>
      </c>
      <c r="D11" s="30" t="s">
        <v>38</v>
      </c>
      <c r="E11" s="30" t="s">
        <v>40</v>
      </c>
      <c r="F11" s="30" t="s">
        <v>39</v>
      </c>
      <c r="G11" s="30" t="s">
        <v>42</v>
      </c>
    </row>
    <row r="12" spans="1:7" x14ac:dyDescent="0.25">
      <c r="B12" s="31">
        <f>LOOKUP(C12,Pronosticos!I3:I8,Pronosticos!H3:H8)</f>
        <v>2008</v>
      </c>
      <c r="C12" s="31" t="s">
        <v>68</v>
      </c>
      <c r="D12" s="32">
        <f>LOOKUP(C12,Pronosticos!I3:I8,Pronosticos!J3:J8)</f>
        <v>40985.721371428568</v>
      </c>
      <c r="E12" s="31" t="str">
        <f>ConvierteNumLetra(D12)</f>
        <v>CUARENTA MIL NOVECIENTOS OCHENTA Y CINCO PESOS 72/100 M.N.</v>
      </c>
      <c r="F12" s="31" t="str">
        <f>IF(AND(B12&gt;2008,C12&gt;2008),"Pronostico","Resultado")</f>
        <v>Resultado</v>
      </c>
      <c r="G12" s="31" t="str">
        <f>IF(D12&gt;0,"Rentable","No Rentable")</f>
        <v>Rentable</v>
      </c>
    </row>
    <row r="13" spans="1:7" x14ac:dyDescent="0.25">
      <c r="E13" s="8"/>
    </row>
    <row r="14" spans="1:7" x14ac:dyDescent="0.25">
      <c r="E14" s="8"/>
    </row>
    <row r="15" spans="1:7" x14ac:dyDescent="0.25">
      <c r="E15" s="8"/>
    </row>
    <row r="16" spans="1:7" x14ac:dyDescent="0.25">
      <c r="A16" s="30" t="s">
        <v>43</v>
      </c>
      <c r="B16" s="30" t="s">
        <v>44</v>
      </c>
      <c r="C16" s="30" t="s">
        <v>45</v>
      </c>
      <c r="D16" s="30" t="s">
        <v>46</v>
      </c>
      <c r="E16" s="33" t="s">
        <v>47</v>
      </c>
      <c r="F16" s="30" t="s">
        <v>48</v>
      </c>
      <c r="G16" s="30" t="s">
        <v>65</v>
      </c>
    </row>
    <row r="17" spans="1:7" x14ac:dyDescent="0.25">
      <c r="A17" s="31" t="s">
        <v>59</v>
      </c>
      <c r="B17" s="31" t="s">
        <v>60</v>
      </c>
      <c r="C17" s="31" t="s">
        <v>63</v>
      </c>
      <c r="D17" s="31">
        <f>IF(E17="Administración",Pronosticos!$O$20/2,Pronosticos!$O$16/4)</f>
        <v>1250</v>
      </c>
      <c r="E17" s="31" t="s">
        <v>52</v>
      </c>
      <c r="F17" s="31" t="str">
        <f t="shared" ref="F17:F22" si="0">IF(AND(OR(C17="M",D17&lt;2000),AND(E17="Administración")),"Aumento","No Aumento")</f>
        <v>Aumento</v>
      </c>
      <c r="G17" s="31" t="str">
        <f>ConvierteNumLetra(D17)</f>
        <v>UN MIL DOSCIENTOS CINCUENTA PESOS 00/100 M.N.</v>
      </c>
    </row>
    <row r="18" spans="1:7" x14ac:dyDescent="0.25">
      <c r="A18" s="31" t="s">
        <v>61</v>
      </c>
      <c r="B18" s="31" t="s">
        <v>62</v>
      </c>
      <c r="C18" s="31" t="s">
        <v>64</v>
      </c>
      <c r="D18" s="31">
        <f>IF(E18="Administración",Pronosticos!$O$20/2,Pronosticos!$O$16/4)</f>
        <v>500</v>
      </c>
      <c r="E18" s="31" t="s">
        <v>51</v>
      </c>
      <c r="F18" s="31" t="str">
        <f t="shared" si="0"/>
        <v>No Aumento</v>
      </c>
      <c r="G18" s="31" t="str">
        <f t="shared" ref="G18:G22" si="1">ConvierteNumLetra(D18)</f>
        <v>QUINIENTOS PESOS 00/100 M.N.</v>
      </c>
    </row>
    <row r="19" spans="1:7" x14ac:dyDescent="0.25">
      <c r="A19" s="31" t="s">
        <v>57</v>
      </c>
      <c r="B19" s="31" t="s">
        <v>58</v>
      </c>
      <c r="C19" s="31" t="s">
        <v>64</v>
      </c>
      <c r="D19" s="31">
        <f>IF(E19="Administración",Pronosticos!$O$20/2,Pronosticos!$O$16/4)</f>
        <v>500</v>
      </c>
      <c r="E19" s="31" t="s">
        <v>51</v>
      </c>
      <c r="F19" s="31" t="str">
        <f t="shared" si="0"/>
        <v>No Aumento</v>
      </c>
      <c r="G19" s="31" t="str">
        <f t="shared" si="1"/>
        <v>QUINIENTOS PESOS 00/100 M.N.</v>
      </c>
    </row>
    <row r="20" spans="1:7" x14ac:dyDescent="0.25">
      <c r="A20" s="31" t="s">
        <v>49</v>
      </c>
      <c r="B20" s="31" t="s">
        <v>50</v>
      </c>
      <c r="C20" s="31" t="s">
        <v>63</v>
      </c>
      <c r="D20" s="31">
        <f>IF(E20="Administración",Pronosticos!$O$20/2,Pronosticos!$O$16/4)</f>
        <v>500</v>
      </c>
      <c r="E20" s="31" t="s">
        <v>51</v>
      </c>
      <c r="F20" s="31" t="str">
        <f t="shared" si="0"/>
        <v>No Aumento</v>
      </c>
      <c r="G20" s="31" t="str">
        <f t="shared" si="1"/>
        <v>QUINIENTOS PESOS 00/100 M.N.</v>
      </c>
    </row>
    <row r="21" spans="1:7" x14ac:dyDescent="0.25">
      <c r="A21" s="31" t="s">
        <v>55</v>
      </c>
      <c r="B21" s="31" t="s">
        <v>56</v>
      </c>
      <c r="C21" s="31" t="s">
        <v>63</v>
      </c>
      <c r="D21" s="31">
        <f>IF(E21="Administración",Pronosticos!$O$20/2,Pronosticos!$O$16/4)</f>
        <v>1250</v>
      </c>
      <c r="E21" s="31" t="s">
        <v>52</v>
      </c>
      <c r="F21" s="31" t="str">
        <f t="shared" si="0"/>
        <v>Aumento</v>
      </c>
      <c r="G21" s="31" t="str">
        <f t="shared" si="1"/>
        <v>UN MIL DOSCIENTOS CINCUENTA PESOS 00/100 M.N.</v>
      </c>
    </row>
    <row r="22" spans="1:7" x14ac:dyDescent="0.25">
      <c r="A22" s="31" t="s">
        <v>53</v>
      </c>
      <c r="B22" s="31" t="s">
        <v>54</v>
      </c>
      <c r="C22" s="31" t="s">
        <v>63</v>
      </c>
      <c r="D22" s="31">
        <f>IF(E22="Administración",Pronosticos!$O$20/2,Pronosticos!$O$16/4)</f>
        <v>500</v>
      </c>
      <c r="E22" s="31" t="s">
        <v>51</v>
      </c>
      <c r="F22" s="31" t="str">
        <f t="shared" si="0"/>
        <v>No Aumento</v>
      </c>
      <c r="G22" s="31" t="str">
        <f t="shared" si="1"/>
        <v>QUINIENTOS PESOS 00/100 M.N.</v>
      </c>
    </row>
  </sheetData>
  <sortState ref="B9:G14">
    <sortCondition ref="B9"/>
  </sortState>
  <conditionalFormatting sqref="G12">
    <cfRule type="cellIs" dxfId="10" priority="1" operator="lessThan">
      <formula>0.01</formula>
    </cfRule>
    <cfRule type="cellIs" dxfId="9" priority="2" operator="greaterThan">
      <formula>0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Pronosticos!I3:I8</xm:f>
          </x14:formula1>
          <xm:sqref>C12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15"/>
  <sheetViews>
    <sheetView showGridLines="0" tabSelected="1" workbookViewId="0"/>
  </sheetViews>
  <sheetFormatPr baseColWidth="10" defaultRowHeight="15" x14ac:dyDescent="0.25"/>
  <cols>
    <col min="2" max="2" width="29.140625" customWidth="1"/>
    <col min="3" max="3" width="17" customWidth="1"/>
  </cols>
  <sheetData>
    <row r="1" spans="1:3" x14ac:dyDescent="0.25">
      <c r="A1" s="36" t="str">
        <f>Pronosticos!H2</f>
        <v>Año</v>
      </c>
      <c r="B1" s="37" t="s">
        <v>41</v>
      </c>
      <c r="C1" s="37" t="s">
        <v>38</v>
      </c>
    </row>
    <row r="2" spans="1:3" x14ac:dyDescent="0.25">
      <c r="A2" s="38">
        <f>Pronosticos!H3</f>
        <v>2008</v>
      </c>
      <c r="B2" s="39" t="str">
        <f>Pronosticos!I3</f>
        <v>Utilidad Bruta del Ejercicio 2008</v>
      </c>
      <c r="C2" s="40">
        <f>Pronosticos!J3</f>
        <v>40985.721371428568</v>
      </c>
    </row>
    <row r="3" spans="1:3" x14ac:dyDescent="0.25">
      <c r="A3" s="38">
        <f>Pronosticos!H4</f>
        <v>2009</v>
      </c>
      <c r="B3" s="39" t="str">
        <f>Pronosticos!I4</f>
        <v>Utilidad Bruta del Ejercicio 2009</v>
      </c>
      <c r="C3" s="40">
        <f>Pronosticos!J4</f>
        <v>52545.86</v>
      </c>
    </row>
    <row r="4" spans="1:3" x14ac:dyDescent="0.25">
      <c r="A4" s="38">
        <f>Pronosticos!H5</f>
        <v>2010</v>
      </c>
      <c r="B4" s="39" t="str">
        <f>Pronosticos!I5</f>
        <v>Utilidad Bruta del Ejercicio 2010</v>
      </c>
      <c r="C4" s="40">
        <f>Pronosticos!J5</f>
        <v>41764.389900000009</v>
      </c>
    </row>
    <row r="5" spans="1:3" x14ac:dyDescent="0.25">
      <c r="A5" s="38">
        <f>Pronosticos!H6</f>
        <v>2008</v>
      </c>
      <c r="B5" s="39" t="str">
        <f>Pronosticos!I6</f>
        <v>Utilidad Neta del Ejercicio 2008</v>
      </c>
      <c r="C5" s="40">
        <f>Pronosticos!J6</f>
        <v>34035.721371428568</v>
      </c>
    </row>
    <row r="6" spans="1:3" x14ac:dyDescent="0.25">
      <c r="A6" s="38">
        <f>Pronosticos!H7</f>
        <v>2009</v>
      </c>
      <c r="B6" s="39" t="str">
        <f>Pronosticos!I7</f>
        <v>Utilidad Neta del Ejercicio 2009</v>
      </c>
      <c r="C6" s="40">
        <f>Pronosticos!J7</f>
        <v>45095.86</v>
      </c>
    </row>
    <row r="7" spans="1:3" x14ac:dyDescent="0.25">
      <c r="A7" s="38">
        <f>Pronosticos!H8</f>
        <v>2010</v>
      </c>
      <c r="B7" s="39" t="str">
        <f>Pronosticos!I8</f>
        <v>Utilidad Neta del Ejercicio 2010</v>
      </c>
      <c r="C7" s="40">
        <f>Pronosticos!J8</f>
        <v>44464.389900000009</v>
      </c>
    </row>
    <row r="9" spans="1:3" x14ac:dyDescent="0.25">
      <c r="B9" s="35"/>
      <c r="C9" s="35" t="s">
        <v>73</v>
      </c>
    </row>
    <row r="10" spans="1:3" x14ac:dyDescent="0.25">
      <c r="B10" s="35" t="s">
        <v>68</v>
      </c>
      <c r="C10" s="29">
        <v>40985.721371428568</v>
      </c>
    </row>
    <row r="11" spans="1:3" x14ac:dyDescent="0.25">
      <c r="B11" s="35" t="s">
        <v>69</v>
      </c>
      <c r="C11" s="29">
        <v>52545.86</v>
      </c>
    </row>
    <row r="12" spans="1:3" x14ac:dyDescent="0.25">
      <c r="B12" s="35" t="s">
        <v>70</v>
      </c>
      <c r="C12" s="29">
        <v>41764.389900000009</v>
      </c>
    </row>
    <row r="13" spans="1:3" x14ac:dyDescent="0.25">
      <c r="B13" s="35" t="s">
        <v>71</v>
      </c>
      <c r="C13" s="29">
        <v>34035.721371428568</v>
      </c>
    </row>
    <row r="14" spans="1:3" x14ac:dyDescent="0.25">
      <c r="B14" s="35" t="s">
        <v>72</v>
      </c>
      <c r="C14" s="29">
        <v>45095.86</v>
      </c>
    </row>
    <row r="15" spans="1:3" x14ac:dyDescent="0.25">
      <c r="B15" s="35" t="s">
        <v>37</v>
      </c>
      <c r="C15" s="29">
        <v>44464.389900000009</v>
      </c>
    </row>
  </sheetData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Presentacion</vt:lpstr>
      <vt:lpstr>Pronosticos</vt:lpstr>
      <vt:lpstr>Resultados</vt:lpstr>
      <vt:lpstr>Grafico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ALUMNO</dc:creator>
  <cp:lastModifiedBy>OEM</cp:lastModifiedBy>
  <dcterms:created xsi:type="dcterms:W3CDTF">2014-02-20T19:32:08Z</dcterms:created>
  <dcterms:modified xsi:type="dcterms:W3CDTF">2014-03-06T23:49:56Z</dcterms:modified>
</cp:coreProperties>
</file>